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aveExternalLinkValues="0" codeName="ThisWorkbook"/>
  <bookViews>
    <workbookView xWindow="-15" yWindow="120" windowWidth="13890" windowHeight="84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4525"/>
</workbook>
</file>

<file path=xl/calcChain.xml><?xml version="1.0" encoding="utf-8"?>
<calcChain xmlns="http://schemas.openxmlformats.org/spreadsheetml/2006/main">
  <c r="I3" i="3" l="1"/>
  <c r="O3" i="3"/>
  <c r="H162" i="3"/>
  <c r="H278" i="3"/>
  <c r="H173"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G34" i="37" s="1"/>
  <c r="C34" i="37"/>
  <c r="D34" i="37"/>
  <c r="B35" i="37"/>
  <c r="G35" i="37" s="1"/>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s="1"/>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s="1"/>
  <c r="B161" i="37"/>
  <c r="B162" i="37"/>
  <c r="B163" i="37"/>
  <c r="C163" i="37"/>
  <c r="D163" i="37"/>
  <c r="G163" i="37" s="1"/>
  <c r="B164" i="37"/>
  <c r="C164" i="37"/>
  <c r="D164" i="37"/>
  <c r="G164" i="37" s="1"/>
  <c r="B165" i="37"/>
  <c r="C165" i="37"/>
  <c r="D165" i="37"/>
  <c r="G165" i="37" s="1"/>
  <c r="B166" i="37"/>
  <c r="C166" i="37"/>
  <c r="D166" i="37"/>
  <c r="G166" i="37" s="1"/>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B605" i="37"/>
  <c r="C605" i="37"/>
  <c r="D605" i="37"/>
  <c r="B606" i="37"/>
  <c r="C606" i="37"/>
  <c r="D606" i="37"/>
  <c r="B607" i="37"/>
  <c r="C607" i="37"/>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s="1"/>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c r="B667" i="37"/>
  <c r="C667" i="37"/>
  <c r="D667" i="37"/>
  <c r="G667" i="37"/>
  <c r="B668" i="37"/>
  <c r="C668" i="37"/>
  <c r="D668" i="37"/>
  <c r="G668" i="37"/>
  <c r="B669" i="37"/>
  <c r="C669" i="37"/>
  <c r="D669" i="37"/>
  <c r="G669" i="37" s="1"/>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s="1"/>
  <c r="B689" i="37"/>
  <c r="C689" i="37"/>
  <c r="D689" i="37"/>
  <c r="G689" i="37" s="1"/>
  <c r="B690" i="37"/>
  <c r="C690" i="37"/>
  <c r="D690" i="37"/>
  <c r="G690" i="37" s="1"/>
  <c r="B691" i="37"/>
  <c r="C691" i="37"/>
  <c r="D691" i="37"/>
  <c r="G691" i="37"/>
  <c r="B692" i="37"/>
  <c r="C692" i="37"/>
  <c r="D692" i="37"/>
  <c r="G692" i="37" s="1"/>
  <c r="B693" i="37"/>
  <c r="C693" i="37"/>
  <c r="D693" i="37"/>
  <c r="G693" i="37"/>
  <c r="B694" i="37"/>
  <c r="C694" i="37"/>
  <c r="D694" i="37"/>
  <c r="G694" i="37" s="1"/>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G1025" i="37" s="1"/>
  <c r="B1026" i="37"/>
  <c r="C1026" i="37"/>
  <c r="D1026" i="37"/>
  <c r="G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G1216" i="37" s="1"/>
  <c r="B1217" i="37"/>
  <c r="C1217" i="37"/>
  <c r="D1217" i="37"/>
  <c r="G1217" i="37"/>
  <c r="B1218" i="37"/>
  <c r="C1218" i="37"/>
  <c r="D1218" i="37"/>
  <c r="G1218" i="37"/>
  <c r="B1219" i="37"/>
  <c r="B1220" i="37"/>
  <c r="B1221" i="37"/>
  <c r="C1221" i="37"/>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H1346" i="37" s="1"/>
  <c r="B1347" i="37"/>
  <c r="G1347" i="37" s="1"/>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D1375" i="37"/>
  <c r="G1375" i="37"/>
  <c r="B1376" i="37"/>
  <c r="B1377" i="37"/>
  <c r="G1377" i="37" s="1"/>
  <c r="C1377" i="37"/>
  <c r="D1377" i="37"/>
  <c r="H1377" i="37" s="1"/>
  <c r="B1378" i="37"/>
  <c r="G1378" i="37" s="1"/>
  <c r="C1378" i="37"/>
  <c r="D1378" i="37"/>
  <c r="B1379" i="37"/>
  <c r="G1379" i="37" s="1"/>
  <c r="C1379" i="37"/>
  <c r="D1379" i="37"/>
  <c r="H1379" i="37" s="1"/>
  <c r="B1380" i="37"/>
  <c r="G1380" i="37" s="1"/>
  <c r="C1380" i="37"/>
  <c r="D1380" i="37"/>
  <c r="B1381" i="37"/>
  <c r="B1382" i="37"/>
  <c r="C1382" i="37"/>
  <c r="H1382" i="37" s="1"/>
  <c r="D1382" i="37"/>
  <c r="G1382" i="37"/>
  <c r="B1383" i="37"/>
  <c r="C1383" i="37"/>
  <c r="D1383" i="37"/>
  <c r="G1383" i="37"/>
  <c r="B1384" i="37"/>
  <c r="C1384" i="37"/>
  <c r="H1384" i="37" s="1"/>
  <c r="D1384" i="37"/>
  <c r="G1384" i="37"/>
  <c r="B1385" i="37"/>
  <c r="C1385" i="37"/>
  <c r="D1385" i="37"/>
  <c r="G1385" i="37"/>
  <c r="B1386" i="37"/>
  <c r="C1386" i="37"/>
  <c r="H1386" i="37" s="1"/>
  <c r="D1386" i="37"/>
  <c r="G1386" i="37"/>
  <c r="B1387" i="37"/>
  <c r="C1387" i="37"/>
  <c r="D1387" i="37"/>
  <c r="G1387" i="37"/>
  <c r="B1388" i="37"/>
  <c r="C1388" i="37"/>
  <c r="H1388" i="37" s="1"/>
  <c r="D1388" i="37"/>
  <c r="G1388" i="37"/>
  <c r="B1389" i="37"/>
  <c r="B1390" i="37"/>
  <c r="C1390" i="37"/>
  <c r="D1390" i="37"/>
  <c r="G1390" i="37"/>
  <c r="B1391" i="37"/>
  <c r="C1391" i="37"/>
  <c r="H1391" i="37" s="1"/>
  <c r="D1391" i="37"/>
  <c r="G1391" i="37"/>
  <c r="B1392" i="37"/>
  <c r="C1392" i="37"/>
  <c r="D1392" i="37"/>
  <c r="G1392" i="37"/>
  <c r="B1393" i="37"/>
  <c r="C1393" i="37"/>
  <c r="H1393" i="37" s="1"/>
  <c r="D1393" i="37"/>
  <c r="G1393" i="37"/>
  <c r="B1394" i="37"/>
  <c r="C1394" i="37"/>
  <c r="D1394" i="37"/>
  <c r="G1394" i="37"/>
  <c r="B1395" i="37"/>
  <c r="C1395" i="37"/>
  <c r="H1395" i="37" s="1"/>
  <c r="D1395" i="37"/>
  <c r="G1395" i="37"/>
  <c r="B1396" i="37"/>
  <c r="B1397" i="37"/>
  <c r="B1398" i="37"/>
  <c r="C1398" i="37"/>
  <c r="D1398" i="37"/>
  <c r="G1398" i="37"/>
  <c r="B1399" i="37"/>
  <c r="C1399" i="37"/>
  <c r="H1399" i="37" s="1"/>
  <c r="D1399" i="37"/>
  <c r="G1399" i="37"/>
  <c r="B1400" i="37"/>
  <c r="B1401" i="37"/>
  <c r="G1401" i="37" s="1"/>
  <c r="C1401" i="37"/>
  <c r="D1401" i="37"/>
  <c r="B1402" i="37"/>
  <c r="C1402" i="37"/>
  <c r="D1402" i="37"/>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5" i="37"/>
  <c r="H1481" i="37"/>
  <c r="H1477" i="37"/>
  <c r="H1475" i="37"/>
  <c r="H1473" i="37"/>
  <c r="H1467" i="37"/>
  <c r="H1447" i="37"/>
  <c r="H1444" i="37"/>
  <c r="H1440" i="37"/>
  <c r="H1438" i="37"/>
  <c r="H1436" i="37"/>
  <c r="H1434" i="37"/>
  <c r="H1430" i="37"/>
  <c r="H1429" i="37"/>
  <c r="H1422" i="37"/>
  <c r="H1420" i="37"/>
  <c r="H1418" i="37"/>
  <c r="H1416" i="37"/>
  <c r="H1414" i="37"/>
  <c r="H1410" i="37"/>
  <c r="H1408" i="37"/>
  <c r="H1406" i="37"/>
  <c r="H1403" i="37"/>
  <c r="H1401" i="37"/>
  <c r="H1398" i="37"/>
  <c r="H1394" i="37"/>
  <c r="H1392" i="37"/>
  <c r="H1390" i="37"/>
  <c r="H1387" i="37"/>
  <c r="H1385" i="37"/>
  <c r="H1383" i="37"/>
  <c r="H1380" i="37"/>
  <c r="H1378" i="37"/>
  <c r="H1375" i="37"/>
  <c r="H1373" i="37"/>
  <c r="H1367" i="37"/>
  <c r="H1362" i="37"/>
  <c r="H1360" i="37"/>
  <c r="H1356" i="37"/>
  <c r="H1354" i="37"/>
  <c r="H1352" i="37"/>
  <c r="H1350" i="37"/>
  <c r="H1347"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c r="G25" i="3"/>
  <c r="E25" i="3"/>
  <c r="B25" i="3" s="1"/>
  <c r="G26" i="3"/>
  <c r="E26" i="3" s="1"/>
  <c r="B26" i="3" s="1"/>
  <c r="G27" i="3"/>
  <c r="H27" i="3"/>
  <c r="G28" i="3"/>
  <c r="H28" i="3"/>
  <c r="E28" i="3" s="1"/>
  <c r="G29" i="3"/>
  <c r="H29" i="3"/>
  <c r="E29" i="3"/>
  <c r="G31" i="3"/>
  <c r="H31" i="3"/>
  <c r="G32" i="3"/>
  <c r="H32" i="3"/>
  <c r="G33" i="3"/>
  <c r="H33" i="3"/>
  <c r="G34" i="3"/>
  <c r="H34" i="3"/>
  <c r="E34" i="3"/>
  <c r="B34" i="3" s="1"/>
  <c r="G35" i="3"/>
  <c r="H35" i="3"/>
  <c r="G36" i="3"/>
  <c r="H36" i="3"/>
  <c r="G37" i="3"/>
  <c r="H37" i="3"/>
  <c r="E37" i="3" s="1"/>
  <c r="B37" i="3" s="1"/>
  <c r="G38" i="3"/>
  <c r="H38" i="3"/>
  <c r="E38" i="3"/>
  <c r="G39" i="3"/>
  <c r="H39" i="3"/>
  <c r="G40" i="3"/>
  <c r="H40" i="3"/>
  <c r="G41" i="3"/>
  <c r="H41" i="3"/>
  <c r="G42" i="3"/>
  <c r="H42" i="3"/>
  <c r="E42" i="3"/>
  <c r="G43" i="3"/>
  <c r="H43" i="3"/>
  <c r="G44" i="3"/>
  <c r="H44" i="3"/>
  <c r="G45" i="3"/>
  <c r="H45" i="3"/>
  <c r="G46" i="3"/>
  <c r="H46" i="3"/>
  <c r="E46" i="3"/>
  <c r="G47" i="3"/>
  <c r="H47" i="3"/>
  <c r="G48" i="3"/>
  <c r="H48" i="3"/>
  <c r="G49" i="3"/>
  <c r="H49" i="3"/>
  <c r="E49" i="3" s="1"/>
  <c r="B49" i="3" s="1"/>
  <c r="G50" i="3"/>
  <c r="H50" i="3"/>
  <c r="E50" i="3"/>
  <c r="G51" i="3"/>
  <c r="H51" i="3"/>
  <c r="G52" i="3"/>
  <c r="H52" i="3"/>
  <c r="G53" i="3"/>
  <c r="H53" i="3"/>
  <c r="E53" i="3" s="1"/>
  <c r="B53" i="3" s="1"/>
  <c r="G54" i="3"/>
  <c r="H54" i="3"/>
  <c r="E54" i="3"/>
  <c r="G55" i="3"/>
  <c r="H55" i="3"/>
  <c r="G56" i="3"/>
  <c r="H56" i="3"/>
  <c r="G57" i="3"/>
  <c r="H57" i="3"/>
  <c r="E57" i="3" s="1"/>
  <c r="B57" i="3" s="1"/>
  <c r="G58" i="3"/>
  <c r="H58" i="3"/>
  <c r="E58" i="3"/>
  <c r="G59" i="3"/>
  <c r="H59" i="3"/>
  <c r="G60" i="3"/>
  <c r="H60" i="3"/>
  <c r="G61" i="3"/>
  <c r="H61" i="3"/>
  <c r="E61" i="3" s="1"/>
  <c r="B61" i="3" s="1"/>
  <c r="G62" i="3"/>
  <c r="H62" i="3"/>
  <c r="E62" i="3"/>
  <c r="G63" i="3"/>
  <c r="H63" i="3"/>
  <c r="G64" i="3"/>
  <c r="H64" i="3"/>
  <c r="G65" i="3"/>
  <c r="H65" i="3"/>
  <c r="E65" i="3" s="1"/>
  <c r="B65" i="3" s="1"/>
  <c r="G66" i="3"/>
  <c r="H66" i="3"/>
  <c r="E66" i="3"/>
  <c r="G67" i="3"/>
  <c r="H67" i="3"/>
  <c r="G68" i="3"/>
  <c r="H68" i="3"/>
  <c r="G69" i="3"/>
  <c r="H69" i="3"/>
  <c r="E69" i="3" s="1"/>
  <c r="B69" i="3" s="1"/>
  <c r="G70" i="3"/>
  <c r="H70" i="3"/>
  <c r="E70" i="3"/>
  <c r="G71" i="3"/>
  <c r="H71" i="3"/>
  <c r="G72" i="3"/>
  <c r="H72" i="3"/>
  <c r="G73" i="3"/>
  <c r="H73" i="3"/>
  <c r="E73" i="3" s="1"/>
  <c r="B73" i="3" s="1"/>
  <c r="G74" i="3"/>
  <c r="H74" i="3"/>
  <c r="E74" i="3"/>
  <c r="G75" i="3"/>
  <c r="H75" i="3"/>
  <c r="G76" i="3"/>
  <c r="H76" i="3"/>
  <c r="G77" i="3"/>
  <c r="H77" i="3"/>
  <c r="E77" i="3" s="1"/>
  <c r="B77" i="3" s="1"/>
  <c r="G78" i="3"/>
  <c r="H78" i="3"/>
  <c r="E78" i="3"/>
  <c r="G79" i="3"/>
  <c r="H79" i="3"/>
  <c r="G80" i="3"/>
  <c r="H80" i="3"/>
  <c r="G81" i="3"/>
  <c r="H81" i="3"/>
  <c r="E81" i="3" s="1"/>
  <c r="B81" i="3" s="1"/>
  <c r="G82" i="3"/>
  <c r="H82" i="3"/>
  <c r="E82" i="3"/>
  <c r="G83" i="3"/>
  <c r="H83" i="3"/>
  <c r="G84" i="3"/>
  <c r="H84" i="3"/>
  <c r="G85" i="3"/>
  <c r="H85" i="3"/>
  <c r="E85" i="3" s="1"/>
  <c r="B85" i="3" s="1"/>
  <c r="G86" i="3"/>
  <c r="H86" i="3"/>
  <c r="E86" i="3"/>
  <c r="G87" i="3"/>
  <c r="H87" i="3"/>
  <c r="G88" i="3"/>
  <c r="H88" i="3"/>
  <c r="G89" i="3"/>
  <c r="H89" i="3"/>
  <c r="E89" i="3" s="1"/>
  <c r="B89" i="3" s="1"/>
  <c r="G90" i="3"/>
  <c r="H90" i="3"/>
  <c r="E90" i="3"/>
  <c r="G91" i="3"/>
  <c r="H91" i="3"/>
  <c r="G92" i="3"/>
  <c r="H92" i="3"/>
  <c r="G93" i="3"/>
  <c r="H93" i="3"/>
  <c r="E93" i="3" s="1"/>
  <c r="B93" i="3" s="1"/>
  <c r="G94" i="3"/>
  <c r="H94" i="3"/>
  <c r="E94" i="3"/>
  <c r="G95" i="3"/>
  <c r="H95" i="3"/>
  <c r="G96" i="3"/>
  <c r="H96" i="3"/>
  <c r="G97" i="3"/>
  <c r="H97" i="3"/>
  <c r="E97" i="3" s="1"/>
  <c r="B97" i="3" s="1"/>
  <c r="G98" i="3"/>
  <c r="H98" i="3"/>
  <c r="E98" i="3"/>
  <c r="G99" i="3"/>
  <c r="H99" i="3"/>
  <c r="G100" i="3"/>
  <c r="H100" i="3"/>
  <c r="G101" i="3"/>
  <c r="H101" i="3"/>
  <c r="E101" i="3" s="1"/>
  <c r="B101" i="3" s="1"/>
  <c r="G102" i="3"/>
  <c r="H102" i="3"/>
  <c r="E102" i="3"/>
  <c r="G103" i="3"/>
  <c r="H103" i="3"/>
  <c r="G104" i="3"/>
  <c r="H104" i="3"/>
  <c r="G105" i="3"/>
  <c r="H105" i="3"/>
  <c r="E105" i="3" s="1"/>
  <c r="B105" i="3" s="1"/>
  <c r="G106" i="3"/>
  <c r="H106" i="3"/>
  <c r="E106" i="3"/>
  <c r="G107" i="3"/>
  <c r="H107" i="3"/>
  <c r="G108" i="3"/>
  <c r="H108" i="3"/>
  <c r="G109" i="3"/>
  <c r="H109" i="3"/>
  <c r="E109" i="3" s="1"/>
  <c r="B109" i="3" s="1"/>
  <c r="G110" i="3"/>
  <c r="H110" i="3"/>
  <c r="E110" i="3"/>
  <c r="G111" i="3"/>
  <c r="H111" i="3"/>
  <c r="G112" i="3"/>
  <c r="H112" i="3"/>
  <c r="G113" i="3"/>
  <c r="H113" i="3"/>
  <c r="E113" i="3" s="1"/>
  <c r="B113" i="3" s="1"/>
  <c r="G114" i="3"/>
  <c r="H114" i="3"/>
  <c r="E114" i="3"/>
  <c r="G115" i="3"/>
  <c r="H115" i="3"/>
  <c r="G116" i="3"/>
  <c r="H116" i="3"/>
  <c r="G117" i="3"/>
  <c r="H117" i="3"/>
  <c r="E117" i="3" s="1"/>
  <c r="B117" i="3" s="1"/>
  <c r="G118" i="3"/>
  <c r="H118" i="3"/>
  <c r="E118" i="3"/>
  <c r="G119" i="3"/>
  <c r="H119" i="3"/>
  <c r="G120" i="3"/>
  <c r="H120" i="3"/>
  <c r="G121" i="3"/>
  <c r="H121" i="3"/>
  <c r="E121" i="3" s="1"/>
  <c r="B121" i="3" s="1"/>
  <c r="G122" i="3"/>
  <c r="H122" i="3"/>
  <c r="E122" i="3"/>
  <c r="G123" i="3"/>
  <c r="H123" i="3"/>
  <c r="G124" i="3"/>
  <c r="H124" i="3"/>
  <c r="G125" i="3"/>
  <c r="H125" i="3"/>
  <c r="E125" i="3" s="1"/>
  <c r="B125" i="3" s="1"/>
  <c r="G126" i="3"/>
  <c r="H126" i="3"/>
  <c r="E126" i="3"/>
  <c r="G127" i="3"/>
  <c r="H127" i="3"/>
  <c r="G128" i="3"/>
  <c r="H128" i="3"/>
  <c r="G129" i="3"/>
  <c r="H129" i="3"/>
  <c r="E129" i="3" s="1"/>
  <c r="B129" i="3" s="1"/>
  <c r="G130" i="3"/>
  <c r="H130" i="3"/>
  <c r="E130" i="3"/>
  <c r="G131" i="3"/>
  <c r="H131" i="3"/>
  <c r="G132" i="3"/>
  <c r="H132" i="3"/>
  <c r="G133" i="3"/>
  <c r="H133" i="3"/>
  <c r="E133" i="3" s="1"/>
  <c r="B133" i="3" s="1"/>
  <c r="G134" i="3"/>
  <c r="H134" i="3"/>
  <c r="E134" i="3"/>
  <c r="G135" i="3"/>
  <c r="H135" i="3"/>
  <c r="G136" i="3"/>
  <c r="H136" i="3"/>
  <c r="G137" i="3"/>
  <c r="H137" i="3"/>
  <c r="E137" i="3" s="1"/>
  <c r="B137" i="3" s="1"/>
  <c r="G138" i="3"/>
  <c r="H138" i="3"/>
  <c r="E138" i="3"/>
  <c r="G140" i="3"/>
  <c r="H140" i="3"/>
  <c r="G141" i="3"/>
  <c r="H141" i="3"/>
  <c r="E141" i="3" s="1"/>
  <c r="B141" i="3" s="1"/>
  <c r="G142" i="3"/>
  <c r="H142" i="3"/>
  <c r="E142" i="3"/>
  <c r="G143" i="3"/>
  <c r="H143" i="3"/>
  <c r="G144" i="3"/>
  <c r="H144" i="3"/>
  <c r="G145" i="3"/>
  <c r="H145" i="3"/>
  <c r="E145" i="3" s="1"/>
  <c r="B145" i="3" s="1"/>
  <c r="G146" i="3"/>
  <c r="H146" i="3"/>
  <c r="E146" i="3"/>
  <c r="G147" i="3"/>
  <c r="H147" i="3"/>
  <c r="G148" i="3"/>
  <c r="H148" i="3"/>
  <c r="G149" i="3"/>
  <c r="H149" i="3"/>
  <c r="E149" i="3" s="1"/>
  <c r="B149" i="3" s="1"/>
  <c r="G150" i="3"/>
  <c r="H150" i="3"/>
  <c r="E150" i="3"/>
  <c r="G151" i="3"/>
  <c r="H151" i="3"/>
  <c r="G152" i="3"/>
  <c r="H152" i="3"/>
  <c r="G153" i="3"/>
  <c r="H153" i="3"/>
  <c r="E153" i="3" s="1"/>
  <c r="B153" i="3" s="1"/>
  <c r="G154" i="3"/>
  <c r="H154" i="3"/>
  <c r="E154" i="3"/>
  <c r="G155" i="3"/>
  <c r="H155" i="3"/>
  <c r="G156" i="3"/>
  <c r="H156" i="3"/>
  <c r="T158" i="3"/>
  <c r="G162" i="3"/>
  <c r="E162" i="3" s="1"/>
  <c r="G164" i="3"/>
  <c r="E164" i="3" s="1"/>
  <c r="G166" i="3"/>
  <c r="E166" i="3" s="1"/>
  <c r="B166" i="3" s="1"/>
  <c r="G212" i="3"/>
  <c r="H212" i="3"/>
  <c r="G260" i="3"/>
  <c r="H260" i="3"/>
  <c r="G263" i="3"/>
  <c r="H263" i="3"/>
  <c r="G264" i="3"/>
  <c r="H264" i="3"/>
  <c r="G265" i="3"/>
  <c r="H265" i="3"/>
  <c r="E265" i="3"/>
  <c r="G268" i="3"/>
  <c r="H268" i="3"/>
  <c r="E268" i="3" s="1"/>
  <c r="G269" i="3"/>
  <c r="H269" i="3"/>
  <c r="E269" i="3"/>
  <c r="G270" i="3"/>
  <c r="H270" i="3"/>
  <c r="G271" i="3"/>
  <c r="H271" i="3"/>
  <c r="G272" i="3"/>
  <c r="H272" i="3"/>
  <c r="E272" i="3" s="1"/>
  <c r="G273" i="3"/>
  <c r="H273" i="3"/>
  <c r="E273" i="3"/>
  <c r="G274" i="3"/>
  <c r="H274" i="3"/>
  <c r="G275" i="3"/>
  <c r="H275" i="3"/>
  <c r="G276" i="3"/>
  <c r="H276" i="3"/>
  <c r="E276" i="3" s="1"/>
  <c r="B276" i="3" s="1"/>
  <c r="G277" i="3"/>
  <c r="H277" i="3"/>
  <c r="E277" i="3"/>
  <c r="G278" i="3"/>
  <c r="E278" i="3" s="1"/>
  <c r="G279" i="3"/>
  <c r="H279" i="3"/>
  <c r="E279" i="3"/>
  <c r="G280" i="3"/>
  <c r="H280" i="3"/>
  <c r="E280" i="3" s="1"/>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7" i="3" s="1"/>
  <c r="F295" i="3"/>
  <c r="F294" i="3"/>
  <c r="F293" i="3"/>
  <c r="F291" i="3"/>
  <c r="F290" i="3"/>
  <c r="F289" i="3"/>
  <c r="F288" i="3" s="1"/>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c r="B215" i="3" s="1"/>
  <c r="L214" i="3"/>
  <c r="M214" i="3"/>
  <c r="F214" i="3" s="1"/>
  <c r="B214" i="3" s="1"/>
  <c r="L213" i="3"/>
  <c r="F213" i="3" s="1"/>
  <c r="B213" i="3" s="1"/>
  <c r="M213" i="3"/>
  <c r="F212" i="3"/>
  <c r="L210" i="3"/>
  <c r="M210" i="3"/>
  <c r="F210" i="3"/>
  <c r="B210" i="3" s="1"/>
  <c r="L209" i="3"/>
  <c r="L208" i="3"/>
  <c r="F208" i="3" s="1"/>
  <c r="B208" i="3" s="1"/>
  <c r="L207" i="3"/>
  <c r="M207" i="3"/>
  <c r="L206" i="3"/>
  <c r="M206" i="3"/>
  <c r="L205" i="3"/>
  <c r="M205" i="3"/>
  <c r="F205" i="3"/>
  <c r="B205" i="3" s="1"/>
  <c r="L204" i="3"/>
  <c r="M204" i="3"/>
  <c r="L203" i="3"/>
  <c r="M203" i="3"/>
  <c r="L202" i="3"/>
  <c r="F202" i="3" s="1"/>
  <c r="B202" i="3" s="1"/>
  <c r="M202" i="3"/>
  <c r="L201" i="3"/>
  <c r="M201" i="3"/>
  <c r="F201" i="3"/>
  <c r="B201" i="3" s="1"/>
  <c r="L200" i="3"/>
  <c r="M200" i="3"/>
  <c r="F200" i="3" s="1"/>
  <c r="B200" i="3" s="1"/>
  <c r="L199" i="3"/>
  <c r="M199" i="3"/>
  <c r="B164" i="3"/>
  <c r="B162"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46" i="3"/>
  <c r="B42" i="3"/>
  <c r="B38" i="3"/>
  <c r="B30" i="3"/>
  <c r="B29" i="3"/>
  <c r="B28" i="3"/>
  <c r="L7" i="3"/>
  <c r="F7" i="3"/>
  <c r="F4" i="3" s="1"/>
  <c r="B5" i="3"/>
  <c r="F261" i="3"/>
  <c r="F292"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D30" i="30"/>
  <c r="C1486"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518" i="1"/>
  <c r="C506" i="37" s="1"/>
  <c r="D14" i="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F421" i="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K55" i="42"/>
  <c r="F46" i="36"/>
  <c r="F50" i="36"/>
  <c r="F114" i="36"/>
  <c r="F43" i="36"/>
  <c r="F13" i="36"/>
  <c r="F29" i="36"/>
  <c r="F73" i="36"/>
  <c r="F97" i="36"/>
  <c r="F42" i="36"/>
  <c r="F96" i="36"/>
  <c r="K59" i="42" l="1"/>
  <c r="H1489" i="37"/>
  <c r="G1444" i="37"/>
  <c r="I1444" i="37" s="1"/>
  <c r="F125" i="36"/>
  <c r="H1402" i="37"/>
  <c r="G1402" i="37"/>
  <c r="G1129" i="37"/>
  <c r="G1251" i="37"/>
  <c r="G1221" i="37"/>
  <c r="G1209" i="37"/>
  <c r="G1142" i="37"/>
  <c r="E260" i="3"/>
  <c r="F199" i="3"/>
  <c r="B199" i="3" s="1"/>
  <c r="G638" i="37"/>
  <c r="G260" i="37"/>
  <c r="F207" i="3"/>
  <c r="B207" i="3" s="1"/>
  <c r="F206" i="3"/>
  <c r="B206" i="3" s="1"/>
  <c r="F185" i="1"/>
  <c r="F161" i="1"/>
  <c r="E141" i="1"/>
  <c r="D131" i="37" s="1"/>
  <c r="F203" i="3"/>
  <c r="B203" i="3" s="1"/>
  <c r="H64" i="37"/>
  <c r="E264" i="3"/>
  <c r="B264" i="3" s="1"/>
  <c r="G1056" i="37"/>
  <c r="G641" i="37"/>
  <c r="G640" i="37"/>
  <c r="G639" i="37"/>
  <c r="G402" i="37"/>
  <c r="F420" i="1"/>
  <c r="G285" i="37"/>
  <c r="F196" i="1"/>
  <c r="E45" i="3"/>
  <c r="B45" i="3" s="1"/>
  <c r="E41" i="3"/>
  <c r="B41" i="3" s="1"/>
  <c r="F204" i="3"/>
  <c r="B204" i="3" s="1"/>
  <c r="E33" i="3"/>
  <c r="B33" i="3" s="1"/>
  <c r="B7" i="1"/>
  <c r="C412" i="37"/>
  <c r="F424" i="1"/>
  <c r="H41" i="37"/>
  <c r="G179" i="3"/>
  <c r="E179" i="3" s="1"/>
  <c r="B179" i="3" s="1"/>
  <c r="G481" i="37"/>
  <c r="H195" i="37"/>
  <c r="H162" i="37"/>
  <c r="D628" i="1"/>
  <c r="E92" i="27"/>
  <c r="D1058" i="37"/>
  <c r="B268" i="3"/>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4" i="27"/>
  <c r="E187" i="27"/>
  <c r="D1152" i="37" s="1"/>
  <c r="F188" i="27"/>
  <c r="D203" i="27"/>
  <c r="F221" i="27"/>
  <c r="F231" i="27"/>
  <c r="E235" i="27"/>
  <c r="D1200" i="37" s="1"/>
  <c r="F236" i="27"/>
  <c r="F247" i="27"/>
  <c r="D254" i="27"/>
  <c r="C1219" i="37" s="1"/>
  <c r="F255" i="27"/>
  <c r="E45" i="33"/>
  <c r="D1457" i="37" s="1"/>
  <c r="H1389" i="37"/>
  <c r="G1389" i="37"/>
  <c r="H1357" i="37"/>
  <c r="H1295" i="37"/>
  <c r="H1497" i="37"/>
  <c r="G1497" i="37"/>
  <c r="D13" i="30"/>
  <c r="C1469" i="37" s="1"/>
  <c r="H1469" i="37" s="1"/>
  <c r="H1557" i="37"/>
  <c r="G1557" i="37"/>
  <c r="F209" i="3"/>
  <c r="B209" i="3" s="1"/>
  <c r="B280" i="3"/>
  <c r="B272" i="3"/>
  <c r="I1439" i="37"/>
  <c r="I1437" i="37"/>
  <c r="I1435" i="37"/>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155" i="3"/>
  <c r="B155" i="3" s="1"/>
  <c r="E152" i="3"/>
  <c r="B152" i="3" s="1"/>
  <c r="E151" i="3"/>
  <c r="B151" i="3" s="1"/>
  <c r="E147" i="3"/>
  <c r="B147" i="3" s="1"/>
  <c r="E144" i="3"/>
  <c r="B144" i="3" s="1"/>
  <c r="E143" i="3"/>
  <c r="B143" i="3" s="1"/>
  <c r="E136" i="3"/>
  <c r="B136" i="3" s="1"/>
  <c r="E135" i="3"/>
  <c r="B135" i="3" s="1"/>
  <c r="E131" i="3"/>
  <c r="B131" i="3" s="1"/>
  <c r="E128" i="3"/>
  <c r="B128" i="3" s="1"/>
  <c r="E127" i="3"/>
  <c r="B127" i="3" s="1"/>
  <c r="E123" i="3"/>
  <c r="B123" i="3" s="1"/>
  <c r="E120" i="3"/>
  <c r="B120" i="3" s="1"/>
  <c r="E119" i="3"/>
  <c r="B119" i="3" s="1"/>
  <c r="E115" i="3"/>
  <c r="B115" i="3" s="1"/>
  <c r="E112" i="3"/>
  <c r="B112" i="3" s="1"/>
  <c r="E111" i="3"/>
  <c r="B111" i="3" s="1"/>
  <c r="E107" i="3"/>
  <c r="B107" i="3" s="1"/>
  <c r="E104" i="3"/>
  <c r="B104" i="3" s="1"/>
  <c r="E103" i="3"/>
  <c r="B103" i="3" s="1"/>
  <c r="E99" i="3"/>
  <c r="B99" i="3" s="1"/>
  <c r="E96" i="3"/>
  <c r="B96" i="3" s="1"/>
  <c r="E95" i="3"/>
  <c r="B95" i="3" s="1"/>
  <c r="E91" i="3"/>
  <c r="B91" i="3" s="1"/>
  <c r="E88" i="3"/>
  <c r="B88" i="3" s="1"/>
  <c r="E87" i="3"/>
  <c r="B87" i="3" s="1"/>
  <c r="E83" i="3"/>
  <c r="B83" i="3" s="1"/>
  <c r="E79" i="3"/>
  <c r="B79" i="3" s="1"/>
  <c r="E75" i="3"/>
  <c r="B75" i="3" s="1"/>
  <c r="E71" i="3"/>
  <c r="B71" i="3" s="1"/>
  <c r="E67" i="3"/>
  <c r="B67" i="3" s="1"/>
  <c r="E63" i="3"/>
  <c r="B63" i="3" s="1"/>
  <c r="E59" i="3"/>
  <c r="B59" i="3" s="1"/>
  <c r="E55" i="3"/>
  <c r="B55" i="3" s="1"/>
  <c r="E51" i="3"/>
  <c r="B51" i="3" s="1"/>
  <c r="E47" i="3"/>
  <c r="B47" i="3" s="1"/>
  <c r="E43" i="3"/>
  <c r="B43" i="3" s="1"/>
  <c r="E39" i="3"/>
  <c r="B39" i="3" s="1"/>
  <c r="E35" i="3"/>
  <c r="B35" i="3" s="1"/>
  <c r="E31" i="3"/>
  <c r="B31" i="3" s="1"/>
  <c r="H1365" i="37"/>
  <c r="H1369"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90" i="37"/>
  <c r="G1086" i="37"/>
  <c r="G1084" i="37"/>
  <c r="G1082" i="37"/>
  <c r="G1080" i="37"/>
  <c r="G1078" i="37"/>
  <c r="G1032" i="37"/>
  <c r="G1030" i="37"/>
  <c r="G1028" i="37"/>
  <c r="G1010" i="37"/>
  <c r="G1008" i="37"/>
  <c r="G989" i="37"/>
  <c r="G987" i="37"/>
  <c r="G985" i="37"/>
  <c r="G981" i="37"/>
  <c r="I1431" i="37"/>
  <c r="I1429" i="37"/>
  <c r="I1427" i="37"/>
  <c r="G1362" i="37"/>
  <c r="G1360" i="37"/>
  <c r="G1358" i="37"/>
  <c r="G1334" i="37"/>
  <c r="G1330" i="37"/>
  <c r="G1328" i="37"/>
  <c r="G1326" i="37"/>
  <c r="G1315" i="37"/>
  <c r="G1313" i="37"/>
  <c r="G1311" i="37"/>
  <c r="G1294" i="37"/>
  <c r="G1290" i="37"/>
  <c r="G1087" i="37"/>
  <c r="G1085" i="37"/>
  <c r="G1083" i="37"/>
  <c r="G1081" i="37"/>
  <c r="G1079" i="37"/>
  <c r="G1077" i="37"/>
  <c r="G1033" i="37"/>
  <c r="G1031" i="37"/>
  <c r="G1029" i="37"/>
  <c r="G1011" i="37"/>
  <c r="G1009" i="37"/>
  <c r="G1007" i="37"/>
  <c r="G988" i="37"/>
  <c r="G986" i="37"/>
  <c r="G982" i="37"/>
  <c r="G980" i="37"/>
  <c r="G607" i="37"/>
  <c r="G605" i="37"/>
  <c r="G593" i="37"/>
  <c r="G591" i="37"/>
  <c r="G579" i="37"/>
  <c r="G574" i="37"/>
  <c r="G570" i="37"/>
  <c r="G564" i="37"/>
  <c r="G553" i="37"/>
  <c r="G551" i="37"/>
  <c r="G549" i="37"/>
  <c r="G547" i="37"/>
  <c r="G539" i="37"/>
  <c r="G537" i="37"/>
  <c r="G535" i="37"/>
  <c r="G527" i="37"/>
  <c r="G517" i="37"/>
  <c r="G511" i="37"/>
  <c r="G1072" i="37"/>
  <c r="G1068" i="37"/>
  <c r="G1064" i="37"/>
  <c r="G1060" i="37"/>
  <c r="G1055" i="37"/>
  <c r="G1053" i="37"/>
  <c r="G1051" i="37"/>
  <c r="G1047" i="37"/>
  <c r="G1045" i="37"/>
  <c r="G1043" i="37"/>
  <c r="G1022" i="37"/>
  <c r="G1020" i="37"/>
  <c r="G1018" i="37"/>
  <c r="G999" i="37"/>
  <c r="G997" i="37"/>
  <c r="G995" i="37"/>
  <c r="G993" i="37"/>
  <c r="G991" i="37"/>
  <c r="G606" i="37"/>
  <c r="G604" i="37"/>
  <c r="G592" i="37"/>
  <c r="G580" i="37"/>
  <c r="G575" i="37"/>
  <c r="G573" i="37"/>
  <c r="G569" i="37"/>
  <c r="G563" i="37"/>
  <c r="G552" i="37"/>
  <c r="G550" i="37"/>
  <c r="G548" i="37"/>
  <c r="G540" i="37"/>
  <c r="G538" i="37"/>
  <c r="G536" i="37"/>
  <c r="G528" i="37"/>
  <c r="G518" i="37"/>
  <c r="G512" i="37"/>
  <c r="G492"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D47" i="30"/>
  <c r="G177" i="3"/>
  <c r="E177" i="3" s="1"/>
  <c r="B177" i="3" s="1"/>
  <c r="J48" i="42"/>
  <c r="F116" i="1"/>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106" i="37"/>
  <c r="G91" i="37"/>
  <c r="G76" i="37"/>
  <c r="G162" i="37"/>
  <c r="G138" i="37"/>
  <c r="G128" i="37"/>
  <c r="G33" i="37"/>
  <c r="G4" i="37"/>
  <c r="G132" i="37"/>
  <c r="G112" i="37"/>
  <c r="G70" i="37"/>
  <c r="G64" i="37"/>
  <c r="G58" i="37"/>
  <c r="G50" i="37"/>
  <c r="G19" i="37"/>
  <c r="F151" i="27" l="1"/>
  <c r="F84" i="27"/>
  <c r="F18" i="27"/>
  <c r="F647" i="1"/>
  <c r="F204" i="1"/>
  <c r="F160" i="1"/>
  <c r="D124" i="37"/>
  <c r="F134" i="1"/>
  <c r="E163" i="3"/>
  <c r="B163" i="3" s="1"/>
  <c r="H1104" i="37"/>
  <c r="C137" i="37"/>
  <c r="F147" i="1"/>
  <c r="I1448" i="37"/>
  <c r="I1451" i="37"/>
  <c r="I1455" i="37"/>
  <c r="I1461" i="37"/>
  <c r="I1464" i="37"/>
  <c r="E24" i="3"/>
  <c r="G1049" i="37"/>
  <c r="H635"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H150" i="37"/>
  <c r="C222" i="37"/>
  <c r="F232" i="1"/>
  <c r="C1457" i="37"/>
  <c r="J54" i="42"/>
  <c r="G585" i="37"/>
  <c r="H585" i="37"/>
  <c r="G1168" i="37"/>
  <c r="E74" i="27"/>
  <c r="G616" i="37"/>
  <c r="H616" i="37"/>
  <c r="H124" i="37" l="1"/>
  <c r="G124" i="37"/>
  <c r="G137" i="37"/>
  <c r="H137" i="37"/>
  <c r="G295" i="3"/>
  <c r="E295" i="3" s="1"/>
  <c r="B295" i="3" s="1"/>
  <c r="G1116" i="37"/>
  <c r="C149" i="37"/>
  <c r="D292" i="1"/>
  <c r="F159" i="1"/>
  <c r="J40" i="42"/>
  <c r="C1199" i="37"/>
  <c r="F234" i="27"/>
  <c r="J46" i="42"/>
  <c r="C1039" i="37"/>
  <c r="J44" i="42"/>
  <c r="F74" i="27"/>
  <c r="D1139" i="37"/>
  <c r="K45" i="42"/>
  <c r="E173" i="27"/>
  <c r="D1138" i="37" s="1"/>
  <c r="G290" i="37"/>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D632" i="37" l="1"/>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Q19" i="3" s="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l="1"/>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<sst xmlns="http://schemas.openxmlformats.org/spreadsheetml/2006/main" count="4758" uniqueCount="4302">
  <si>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</si>
  <si>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</si>
  <si>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</si>
  <si>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</si>
  <si>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</si>
  <si>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</si>
  <si>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</si>
  <si>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</si>
  <si>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</si>
  <si>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</si>
  <si>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</si>
  <si>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</si>
  <si>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</si>
  <si>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</si>
  <si>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</si>
  <si>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</si>
  <si>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</si>
  <si>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</si>
  <si>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</si>
  <si>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</si>
  <si>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</si>
  <si>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</si>
  <si>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</si>
  <si>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</si>
  <si>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</si>
  <si>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</si>
  <si>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</si>
  <si>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</si>
  <si>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</si>
  <si>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</si>
  <si>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</si>
  <si>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</si>
  <si>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</si>
  <si>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</si>
  <si>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</si>
  <si>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</si>
  <si>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</si>
  <si>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</si>
  <si>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</si>
  <si>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</si>
  <si>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</si>
  <si>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</si>
  <si>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</si>
  <si>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</si>
  <si>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</si>
  <si>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</si>
  <si>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</si>
  <si>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</si>
  <si>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</si>
  <si>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</si>
  <si>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</si>
  <si>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</si>
  <si>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</si>
  <si>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</si>
  <si>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</si>
  <si>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</si>
  <si>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</si>
  <si>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</si>
  <si>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</si>
  <si>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</si>
  <si>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</si>
  <si>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</si>
  <si>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</si>
  <si>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</si>
  <si>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</si>
  <si>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</si>
  <si>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</si>
  <si>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</si>
  <si>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</si>
  <si>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</si>
  <si>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</si>
  <si>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</si>
  <si>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</si>
  <si>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</si>
  <si>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</si>
  <si>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</si>
  <si>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</si>
  <si>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</si>
  <si>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</si>
  <si>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</si>
  <si>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</si>
  <si>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</si>
  <si>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</si>
  <si>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</si>
  <si>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</si>
  <si>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</si>
  <si>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</si>
  <si>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</si>
  <si>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</si>
  <si>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</si>
  <si>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</si>
  <si>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</si>
  <si>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</si>
  <si>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</si>
  <si>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</si>
  <si>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</si>
  <si>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</si>
  <si>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</si>
  <si>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</si>
  <si>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</si>
  <si>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</si>
  <si>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</si>
  <si>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</si>
  <si>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</si>
  <si>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</si>
  <si>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</si>
  <si>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</si>
  <si>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</si>
  <si>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</si>
  <si>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</si>
  <si>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</si>
  <si>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</si>
  <si>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</si>
  <si>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</si>
  <si>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</si>
  <si>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</si>
  <si>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</si>
  <si>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</si>
  <si>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</si>
  <si>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</si>
  <si>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</si>
  <si>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</si>
  <si>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</si>
  <si>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</si>
  <si>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</si>
  <si>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</si>
  <si>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</si>
  <si>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</si>
  <si>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</si>
  <si>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</si>
  <si>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</si>
  <si>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</si>
  <si>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</si>
  <si>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</si>
  <si>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</si>
  <si>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</si>
  <si>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</si>
  <si>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</si>
  <si>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</si>
  <si>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</si>
  <si>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</si>
  <si>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</si>
  <si>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</si>
  <si>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</si>
  <si>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</si>
  <si>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</si>
  <si>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</si>
  <si>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</si>
  <si>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</si>
  <si>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</si>
  <si>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</si>
  <si>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</si>
  <si>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</si>
  <si>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</si>
  <si>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</si>
  <si>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</si>
  <si>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</si>
  <si>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</si>
  <si>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</si>
  <si>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</si>
  <si>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</si>
  <si>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</si>
  <si>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</si>
  <si>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</si>
  <si>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</si>
  <si>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</si>
  <si>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</si>
  <si>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</si>
  <si>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</si>
  <si>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</si>
  <si>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</si>
  <si>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</si>
  <si>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</si>
  <si>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</si>
  <si>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</si>
  <si>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</si>
  <si>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</si>
  <si>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</si>
  <si>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</si>
  <si>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</si>
  <si>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</si>
  <si>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</si>
  <si>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</si>
  <si>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</si>
  <si>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</si>
  <si>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</si>
  <si>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</si>
  <si>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</si>
  <si>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</si>
  <si>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</si>
  <si>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</si>
  <si>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</si>
  <si>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</si>
  <si>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</si>
  <si>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</si>
  <si>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</si>
  <si>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</si>
  <si>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</si>
  <si>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</si>
  <si>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</si>
  <si>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</si>
  <si>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</si>
  <si>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</si>
  <si>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</si>
  <si>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</si>
  <si>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</si>
  <si>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</si>
  <si>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</si>
  <si>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</si>
  <si>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</si>
  <si>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</si>
  <si>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</si>
  <si>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</si>
  <si>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</si>
  <si>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</si>
  <si>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</si>
  <si>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</si>
  <si>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</si>
  <si>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</si>
  <si>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</si>
  <si>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</si>
  <si>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</si>
  <si>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</si>
  <si>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</si>
  <si>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</si>
  <si>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</si>
  <si>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</si>
  <si>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</si>
  <si>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</si>
  <si>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</si>
  <si>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</si>
  <si>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</si>
  <si>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</si>
  <si>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</si>
  <si>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</si>
  <si>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</si>
  <si>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</si>
  <si>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</si>
  <si>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</si>
  <si>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</si>
  <si>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</si>
  <si>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</si>
  <si>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</si>
  <si>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</si>
  <si>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</si>
  <si>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</si>
  <si>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</si>
  <si>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</si>
  <si>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</si>
  <si>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</si>
  <si>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</si>
  <si>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</si>
  <si>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</si>
  <si>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</si>
  <si>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</si>
  <si>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</si>
  <si>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</si>
  <si>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</si>
  <si>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</si>
  <si>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</si>
  <si>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</si>
  <si>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</si>
  <si>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</si>
  <si>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</si>
  <si>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</si>
  <si>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</si>
  <si>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</si>
  <si>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</si>
  <si>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</si>
  <si>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</si>
  <si>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</si>
  <si>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</si>
  <si>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</si>
  <si>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</si>
  <si>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</si>
  <si>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</si>
  <si>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</si>
  <si>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</si>
  <si>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</si>
  <si>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</si>
  <si>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</si>
  <si>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</si>
  <si>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</si>
  <si>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</si>
  <si>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</si>
  <si>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</si>
  <si>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</si>
  <si>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</si>
  <si>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</si>
  <si>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</si>
  <si>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</si>
  <si>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</si>
  <si>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</si>
  <si>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</si>
  <si>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</si>
  <si>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</si>
  <si>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</si>
  <si>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</si>
  <si>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</si>
  <si>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</si>
  <si>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</si>
  <si>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</si>
  <si>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</si>
  <si>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</si>
  <si>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</si>
  <si>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</si>
  <si>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</si>
  <si>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</si>
  <si>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</si>
  <si>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</si>
  <si>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</si>
  <si>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</si>
  <si>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</si>
  <si>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</si>
  <si>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</si>
  <si>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</si>
  <si>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</si>
  <si>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</si>
  <si>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</si>
  <si>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</si>
  <si>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</si>
  <si>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</si>
  <si>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</si>
  <si>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</si>
  <si>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</si>
  <si>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</si>
  <si>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</si>
  <si>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</si>
  <si>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</si>
  <si>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</si>
  <si>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</si>
  <si>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</si>
  <si>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</si>
  <si>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</si>
  <si>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</si>
  <si>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</si>
  <si>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</si>
  <si>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</si>
  <si>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</si>
  <si>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</si>
  <si>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</si>
  <si>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</si>
  <si>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</si>
  <si>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</si>
  <si>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</si>
  <si>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</si>
  <si>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</si>
  <si>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</si>
  <si>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</si>
  <si>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</si>
  <si>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</si>
  <si>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</si>
  <si>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</si>
  <si>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</si>
  <si>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</si>
  <si>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</si>
  <si>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</si>
  <si>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</si>
  <si>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</si>
  <si>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</si>
  <si>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</si>
  <si>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</si>
  <si>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</si>
  <si>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</si>
  <si>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</si>
  <si>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</si>
  <si>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</si>
  <si>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</si>
  <si>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</si>
  <si>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</si>
  <si>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</si>
  <si>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</si>
  <si>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</si>
  <si>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</si>
  <si>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</si>
  <si>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</si>
  <si>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</si>
  <si>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</si>
  <si>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</si>
  <si>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</si>
  <si>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</si>
  <si>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</si>
  <si>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</si>
  <si>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</si>
  <si>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</si>
  <si>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</si>
  <si>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</si>
  <si>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</si>
  <si>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</si>
  <si>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</si>
  <si>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</si>
  <si>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</si>
  <si>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</si>
  <si>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</si>
  <si>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</si>
  <si>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</si>
  <si>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</si>
  <si>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</si>
  <si>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</si>
  <si>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</si>
  <si>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</si>
  <si>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</si>
  <si>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</si>
  <si>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</si>
  <si>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</si>
  <si>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</si>
  <si>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</si>
  <si>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</si>
  <si>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</si>
  <si>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</si>
  <si>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</si>
  <si>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</si>
  <si>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</si>
  <si>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</si>
  <si>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</si>
  <si>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</si>
  <si>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</si>
  <si>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</si>
  <si>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</si>
  <si>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</si>
  <si>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</si>
  <si>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</si>
  <si>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</si>
  <si>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</si>
  <si>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</si>
  <si>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</si>
  <si>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</si>
  <si>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</si>
  <si>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</si>
  <si>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</si>
  <si>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</si>
  <si>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</si>
  <si>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</si>
  <si>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</si>
  <si>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</si>
  <si>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</si>
  <si>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</si>
  <si>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</si>
  <si>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</si>
  <si>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</si>
  <si>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</si>
  <si>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</si>
  <si>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</si>
  <si>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</si>
  <si>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</si>
  <si>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</si>
  <si>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</si>
  <si>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</si>
  <si>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</si>
  <si>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</si>
  <si>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</si>
  <si>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</si>
  <si>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</si>
  <si>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</si>
  <si>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</si>
  <si>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</si>
  <si>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</si>
  <si>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</si>
  <si>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</si>
  <si>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</si>
  <si>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</si>
  <si>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</si>
  <si>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</si>
  <si>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</si>
  <si>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</si>
  <si>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</si>
  <si>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</si>
  <si>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</si>
  <si>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</si>
  <si>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</si>
  <si>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</si>
  <si>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</si>
  <si>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</si>
  <si>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</si>
  <si>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</si>
  <si>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</si>
  <si>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</si>
  <si>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</si>
  <si>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</si>
  <si>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</si>
  <si>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</si>
  <si>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</si>
  <si>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</si>
  <si>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</si>
  <si>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</si>
  <si>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</si>
  <si>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</si>
  <si>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</si>
  <si>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</si>
  <si>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</si>
  <si>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</si>
  <si>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</si>
  <si>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</si>
  <si>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</si>
  <si>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</si>
  <si>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</si>
  <si>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</si>
  <si>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</si>
  <si>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</si>
  <si>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</si>
  <si>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</si>
  <si>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</si>
  <si>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</si>
  <si>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</si>
  <si>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</si>
  <si>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</si>
  <si>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</si>
  <si>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</si>
  <si>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</si>
  <si>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</si>
  <si>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</si>
  <si>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</si>
  <si>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</si>
  <si>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</si>
  <si>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</si>
  <si>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</si>
  <si>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</si>
  <si>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</si>
  <si>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</si>
  <si>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</si>
  <si>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</si>
  <si>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</si>
  <si>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</si>
  <si>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</si>
  <si>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</si>
  <si>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</si>
  <si>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</si>
  <si>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</si>
  <si>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</si>
  <si>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</si>
  <si>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</si>
  <si>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</si>
  <si>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</si>
  <si>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</si>
  <si>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</si>
  <si>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</si>
  <si>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</si>
  <si>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</si>
  <si>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</si>
  <si>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</si>
  <si>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</si>
  <si>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</si>
  <si>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</si>
  <si>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</si>
  <si>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</si>
  <si>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</si>
  <si>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</si>
  <si>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</si>
  <si>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</si>
  <si>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</si>
  <si>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</si>
  <si>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</si>
  <si>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</si>
  <si>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</si>
  <si>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</si>
  <si>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</si>
  <si>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</si>
  <si>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</si>
  <si>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</si>
  <si>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</si>
  <si>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</si>
  <si>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</si>
  <si>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</si>
  <si>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</si>
  <si>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</si>
  <si>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</si>
  <si>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</si>
  <si>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</si>
  <si>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</si>
  <si>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</si>
  <si>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</si>
  <si>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</si>
  <si>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</si>
  <si>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</si>
  <si>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</si>
  <si>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</si>
  <si>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</si>
  <si>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</si>
  <si>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</si>
  <si>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</si>
  <si>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</si>
  <si>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</si>
  <si>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</si>
  <si>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</si>
  <si>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</si>
  <si>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</si>
  <si>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</si>
  <si>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</si>
  <si>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</si>
  <si>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</si>
  <si>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</si>
  <si>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</si>
  <si>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</si>
  <si>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</si>
  <si>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</si>
  <si>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</si>
  <si>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</si>
  <si>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</si>
  <si>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</si>
  <si>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</si>
  <si>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</si>
  <si>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</si>
  <si>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</si>
  <si>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</si>
  <si>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</si>
  <si>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</si>
  <si>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</si>
  <si>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</si>
  <si>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</si>
  <si>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</si>
  <si>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</si>
  <si>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</si>
  <si>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</si>
  <si>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</si>
  <si>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</si>
  <si>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</si>
  <si>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</si>
  <si>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</si>
  <si>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</si>
  <si>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</si>
  <si>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</si>
  <si>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</si>
  <si>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</si>
  <si>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</si>
  <si>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</si>
  <si>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</si>
  <si>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</si>
  <si>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</si>
  <si>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</si>
  <si>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</si>
  <si>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</si>
  <si>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</si>
  <si>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</si>
  <si>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</si>
  <si>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</si>
  <si>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</si>
  <si>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</si>
  <si>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</si>
  <si>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</si>
  <si>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</si>
  <si>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</si>
  <si>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</si>
  <si>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</si>
  <si>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</si>
  <si>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</si>
  <si>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</si>
  <si>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</si>
  <si>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</si>
  <si>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</si>
  <si>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</si>
  <si>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</si>
  <si>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</si>
  <si>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</si>
  <si>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</si>
  <si>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</si>
  <si>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</si>
  <si>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</si>
  <si>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</si>
  <si>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</si>
  <si>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</si>
  <si>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</si>
  <si>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</si>
  <si>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</si>
  <si>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</si>
  <si>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</si>
  <si>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</si>
  <si>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</si>
  <si>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</si>
  <si>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</si>
  <si>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</si>
  <si>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</si>
  <si>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</si>
  <si>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</si>
  <si>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</si>
  <si>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</si>
  <si>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</si>
  <si>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</si>
  <si>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</si>
  <si>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</si>
  <si>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</si>
  <si>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</si>
  <si>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</si>
  <si>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</si>
  <si>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</si>
  <si>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</si>
  <si>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</si>
  <si>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</si>
  <si>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</si>
  <si>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</si>
  <si>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</si>
  <si>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</si>
  <si>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</si>
  <si>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</si>
  <si>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</si>
  <si>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</si>
  <si>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</si>
  <si>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</si>
  <si>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</si>
  <si>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</si>
  <si>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</si>
  <si>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</si>
  <si>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</si>
  <si>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</si>
  <si>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</si>
  <si>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</si>
  <si>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</si>
  <si>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</si>
  <si>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</si>
  <si>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</si>
  <si>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</si>
  <si>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</si>
  <si>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</si>
  <si>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</si>
  <si>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</si>
  <si>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</si>
  <si>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</si>
  <si>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</si>
  <si>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</si>
  <si>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</si>
  <si>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</si>
  <si>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</si>
  <si>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</si>
  <si>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</si>
  <si>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</si>
  <si>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</si>
  <si>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</si>
  <si>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</si>
  <si>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</si>
  <si>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</si>
  <si>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</si>
  <si>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</si>
  <si>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</si>
  <si>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</si>
  <si>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</si>
  <si>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</si>
  <si>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</si>
  <si>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</si>
  <si>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</si>
  <si>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</si>
  <si>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</si>
  <si>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</si>
  <si>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</si>
  <si>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</si>
  <si>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</si>
  <si>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</si>
  <si>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</si>
  <si>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</si>
  <si>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</si>
  <si>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</si>
  <si>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</si>
  <si>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</si>
  <si>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</si>
  <si>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</si>
  <si>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</si>
  <si>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</si>
  <si>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</si>
  <si>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</si>
  <si>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</si>
  <si>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</si>
  <si>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</si>
  <si>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</si>
  <si>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</si>
  <si>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</si>
  <si>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</si>
  <si>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</si>
  <si>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</si>
  <si>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</si>
  <si>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</si>
  <si>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</si>
  <si>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</si>
  <si>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</si>
  <si>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</si>
  <si>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</si>
  <si>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</si>
  <si>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</si>
  <si>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</si>
  <si>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</si>
  <si>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</si>
  <si>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</si>
  <si>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</si>
  <si>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</si>
  <si>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</si>
  <si>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</si>
  <si>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</si>
  <si>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</si>
  <si>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</si>
  <si>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</si>
  <si>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</si>
  <si>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</si>
  <si>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</si>
  <si>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</si>
  <si>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</si>
  <si>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</si>
  <si>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</si>
  <si>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</si>
  <si>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</si>
  <si>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</si>
  <si>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</si>
  <si>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</si>
  <si>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</si>
  <si>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</si>
  <si>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</si>
  <si>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</si>
  <si>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</si>
  <si>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</si>
  <si>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</si>
  <si>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</si>
  <si>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</si>
  <si>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</si>
  <si>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</si>
  <si>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</si>
  <si>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</si>
  <si>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</si>
  <si>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</si>
  <si>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</si>
  <si>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</si>
  <si>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</si>
  <si>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</si>
  <si>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</si>
  <si>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</si>
  <si>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</si>
  <si>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</si>
  <si>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</si>
  <si>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</si>
  <si>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</si>
  <si>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</si>
  <si>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</si>
  <si>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</si>
  <si>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</si>
  <si>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</si>
  <si>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</si>
  <si>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</si>
  <si>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</si>
  <si>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</si>
  <si>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</si>
  <si>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</si>
  <si>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</si>
  <si>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</si>
  <si>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</si>
  <si>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</si>
  <si>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</si>
  <si>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</si>
  <si>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</si>
  <si>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</si>
  <si>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</si>
  <si>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</si>
  <si>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</si>
  <si>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</si>
  <si>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</si>
  <si>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</si>
  <si>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</si>
  <si>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</si>
  <si>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</si>
  <si>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</si>
  <si>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</si>
  <si>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</si>
  <si>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</si>
  <si>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</si>
  <si>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</si>
  <si>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</si>
  <si>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</si>
  <si>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</si>
  <si>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</si>
  <si>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</si>
  <si>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</si>
  <si>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</si>
  <si>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</si>
  <si>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</si>
  <si>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</si>
  <si>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</si>
  <si>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</si>
  <si>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</si>
  <si>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</si>
  <si>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</si>
  <si>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</si>
  <si>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</si>
  <si>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</si>
  <si>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</si>
  <si>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</si>
  <si>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</si>
  <si>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</si>
  <si>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</si>
  <si>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</si>
  <si>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</si>
  <si>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</si>
  <si>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</si>
  <si>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</si>
  <si>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</si>
  <si>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</si>
  <si>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</si>
  <si>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</si>
  <si>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</si>
  <si>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</si>
  <si>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</si>
  <si>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</si>
  <si>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</si>
  <si>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</si>
  <si>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</si>
  <si>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</si>
  <si>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</si>
  <si>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</si>
  <si>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</si>
  <si>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</si>
  <si>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</si>
  <si>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</si>
  <si>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</si>
  <si>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</si>
  <si>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</si>
  <si>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</si>
  <si>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</si>
  <si>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</si>
  <si>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</si>
  <si>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</si>
  <si>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</si>
  <si>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</si>
  <si>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</si>
  <si>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</si>
  <si>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</si>
  <si>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</si>
  <si>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</si>
  <si>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</si>
  <si>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</si>
  <si>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</si>
  <si>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</si>
  <si>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</si>
  <si>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</si>
  <si>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</si>
  <si>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</si>
  <si>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</si>
  <si>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</si>
  <si>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</si>
  <si>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</si>
  <si>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</si>
  <si>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</si>
  <si>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</si>
  <si>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</si>
  <si>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</si>
  <si>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</si>
  <si>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</si>
  <si>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</si>
  <si>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</si>
  <si>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</si>
  <si>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</si>
  <si>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</si>
  <si>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</si>
  <si>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</si>
  <si>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</si>
  <si>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</si>
  <si>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</si>
  <si>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</si>
  <si>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</si>
  <si>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</si>
  <si>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</si>
  <si>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</si>
  <si>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</si>
  <si>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</si>
  <si>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</si>
  <si>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</si>
  <si>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</si>
  <si>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</si>
  <si>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</si>
  <si>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</si>
  <si>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</si>
  <si>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</si>
  <si>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</si>
  <si>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</si>
  <si>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</si>
  <si>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</si>
  <si>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</si>
  <si>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</si>
  <si>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</si>
  <si>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</si>
  <si>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</si>
  <si>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</si>
  <si>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</si>
  <si>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</si>
  <si>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</si>
  <si>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</si>
  <si>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</si>
  <si>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</si>
  <si>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</si>
  <si>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</si>
  <si>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</si>
  <si>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</si>
  <si>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</si>
  <si>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</si>
  <si>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</si>
  <si>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</si>
  <si>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</si>
  <si>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</si>
  <si>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</si>
  <si>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</si>
  <si>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</si>
  <si>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</si>
  <si>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</si>
  <si>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</si>
  <si>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</si>
  <si>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</si>
  <si>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</si>
  <si>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</si>
  <si>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</si>
  <si>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</si>
  <si>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</si>
  <si>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</si>
  <si>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</si>
  <si>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</si>
  <si>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</si>
  <si>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</si>
  <si>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</si>
  <si>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</si>
  <si>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</si>
  <si>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</si>
  <si>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</si>
  <si>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</si>
  <si>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</si>
  <si>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</si>
  <si>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</si>
  <si>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</si>
  <si>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</si>
  <si>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</si>
  <si>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</si>
  <si>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</si>
  <si>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</si>
  <si>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</si>
  <si>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</si>
  <si>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</si>
  <si>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</si>
  <si>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</si>
  <si>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</si>
  <si>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</si>
  <si>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</si>
  <si>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</si>
  <si>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</si>
  <si>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</si>
  <si>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</si>
  <si>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</si>
  <si>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</si>
  <si>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</si>
  <si>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</si>
  <si>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</si>
  <si>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</si>
  <si>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</si>
  <si>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</si>
  <si>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</si>
  <si>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</si>
  <si>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</si>
  <si>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</si>
  <si>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</si>
  <si>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</si>
  <si>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</si>
  <si>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</si>
  <si>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</si>
  <si>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</si>
  <si>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</si>
  <si>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</si>
  <si>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</si>
  <si>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</si>
  <si>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</si>
  <si>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</si>
  <si>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</si>
  <si>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</si>
  <si>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</si>
  <si>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</si>
  <si>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</si>
  <si>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</si>
  <si>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</si>
  <si>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</si>
  <si>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</si>
  <si>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</si>
  <si>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</si>
  <si>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</si>
  <si>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</si>
  <si>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</si>
  <si>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</si>
  <si>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</si>
  <si>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</si>
  <si>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</si>
  <si>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</si>
  <si>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</si>
  <si>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</si>
  <si>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</si>
  <si>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</si>
  <si>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</si>
  <si>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</si>
  <si>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</si>
  <si>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</si>
  <si>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</si>
  <si>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</si>
  <si>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</si>
  <si>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</si>
  <si>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</si>
  <si>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</si>
  <si>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</si>
  <si>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</si>
  <si>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</si>
  <si>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</si>
  <si>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</si>
  <si>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</si>
  <si>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</si>
  <si>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</si>
  <si>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</si>
  <si>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</si>
  <si>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</si>
  <si>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</si>
  <si>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</si>
  <si>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</si>
  <si>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</si>
  <si>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</si>
  <si>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</si>
  <si>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</si>
  <si>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</si>
  <si>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</si>
  <si>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</si>
  <si>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</si>
  <si>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</si>
  <si>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</si>
  <si>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</si>
  <si>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</si>
  <si>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</si>
  <si>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</si>
  <si>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</si>
  <si>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</si>
  <si>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</si>
  <si>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</si>
  <si>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</si>
  <si>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</si>
  <si>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</si>
  <si>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</si>
  <si>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</si>
  <si>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</si>
  <si>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</si>
  <si>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</si>
  <si>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</si>
  <si>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</si>
  <si>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</si>
  <si>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</si>
  <si>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</si>
  <si>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</si>
  <si>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</si>
  <si>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</si>
  <si>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</si>
  <si>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</si>
  <si>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</si>
  <si>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</si>
  <si>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</si>
  <si>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</si>
  <si>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</si>
  <si>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</si>
  <si>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</si>
  <si>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</si>
  <si>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</si>
  <si>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</si>
  <si>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</si>
  <si>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</si>
  <si>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</si>
  <si>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</si>
  <si>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</si>
  <si>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</si>
  <si>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</si>
  <si>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</si>
  <si>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</si>
  <si>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</si>
  <si>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</si>
  <si>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</si>
  <si>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</si>
  <si>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</si>
  <si>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</si>
  <si>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</si>
  <si>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</si>
  <si>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</si>
  <si>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</si>
  <si>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</si>
  <si>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</si>
  <si>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</si>
  <si>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</si>
  <si>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</si>
  <si>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</si>
  <si>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</si>
  <si>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</si>
  <si>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</si>
  <si>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</si>
  <si>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</si>
  <si>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</si>
  <si>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</si>
  <si>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</si>
  <si>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</si>
  <si>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</si>
  <si>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</si>
  <si>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</si>
  <si>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</si>
  <si>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</si>
  <si>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</si>
  <si>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</si>
  <si>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</si>
  <si>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</si>
  <si>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</si>
  <si>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</si>
  <si>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</si>
  <si>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</si>
  <si>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</si>
  <si>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</si>
  <si>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</si>
  <si>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</si>
  <si>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</si>
  <si>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</si>
  <si>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</si>
  <si>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</si>
  <si>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</si>
  <si>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</si>
  <si>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</si>
  <si>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</si>
  <si>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</si>
  <si>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</si>
  <si>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</si>
  <si>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</si>
  <si>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</si>
  <si>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</si>
  <si>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</si>
  <si>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</si>
  <si>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</si>
  <si>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</si>
  <si>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</si>
  <si>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</si>
  <si>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</si>
  <si>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</si>
  <si>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</si>
  <si>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</si>
  <si>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</si>
  <si>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</si>
  <si>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</si>
  <si>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</si>
  <si>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</si>
  <si>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</si>
  <si>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</si>
  <si>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</si>
  <si>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</si>
  <si>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</si>
  <si>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</si>
  <si>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</si>
  <si>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</si>
  <si>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</si>
  <si>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</si>
  <si>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</si>
  <si>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</si>
  <si>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</si>
  <si>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</si>
  <si>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</si>
  <si>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</si>
  <si>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</si>
  <si>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</si>
  <si>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</si>
  <si>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</si>
  <si>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</si>
  <si>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</si>
  <si>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</si>
  <si>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</si>
  <si>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</si>
  <si>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</si>
  <si>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</si>
  <si>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</si>
  <si>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</si>
  <si>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</si>
  <si>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</si>
  <si>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</si>
  <si>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</si>
  <si>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</si>
  <si>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</si>
  <si>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</si>
  <si>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</si>
  <si>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</si>
  <si>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</si>
  <si>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</si>
  <si>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</si>
  <si>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</si>
  <si>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</si>
  <si>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</si>
  <si>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</si>
  <si>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</si>
  <si>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</si>
  <si>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</si>
  <si>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</si>
  <si>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</si>
  <si>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</si>
  <si>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</si>
  <si>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</si>
  <si>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</si>
  <si>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</si>
  <si>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</si>
  <si>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</si>
  <si>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</si>
  <si>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</si>
  <si>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</si>
  <si>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</si>
  <si>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</si>
  <si>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</si>
  <si>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</si>
  <si>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</si>
  <si>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</si>
  <si>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</si>
  <si>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</si>
  <si>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</si>
  <si>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</si>
  <si>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</si>
  <si>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</si>
  <si>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</si>
  <si>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</si>
  <si>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</si>
  <si>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</si>
  <si>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</si>
  <si>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</si>
  <si>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</si>
  <si>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</si>
  <si>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</si>
  <si>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</si>
  <si>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</si>
  <si>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</si>
  <si>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</si>
  <si>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</si>
  <si>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</si>
  <si>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</si>
  <si>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</si>
  <si>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</si>
  <si>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</si>
  <si>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</si>
  <si>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</si>
  <si>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</si>
  <si>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</si>
  <si>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</si>
  <si>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</si>
  <si>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</si>
  <si>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</si>
  <si>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</si>
  <si>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</si>
  <si>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</si>
  <si>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</si>
  <si>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</si>
  <si>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</si>
  <si>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</si>
  <si>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</si>
  <si>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</si>
  <si>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</si>
  <si>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</si>
  <si>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</si>
  <si>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</si>
  <si>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</si>
  <si>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</si>
  <si>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</si>
  <si>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</si>
  <si>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</si>
  <si>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</si>
  <si>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</si>
  <si>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</si>
  <si>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</si>
  <si>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</si>
  <si>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</si>
  <si>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</si>
  <si>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</si>
  <si>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</si>
  <si>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</si>
  <si>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</si>
  <si>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</si>
  <si>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</si>
  <si>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</si>
  <si>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</si>
  <si>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</si>
  <si>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</si>
  <si>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</si>
  <si>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</si>
  <si>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</si>
  <si>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</si>
  <si>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</si>
  <si>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</si>
  <si>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</si>
  <si>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</si>
  <si>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</si>
  <si>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</si>
  <si>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</si>
  <si>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</si>
  <si>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</si>
  <si>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</si>
  <si>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</si>
  <si>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</si>
  <si>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</si>
  <si>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</si>
  <si>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</si>
  <si>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</si>
  <si>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</si>
  <si>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</si>
  <si>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</si>
  <si>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</si>
  <si>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</si>
  <si>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</si>
  <si>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</si>
  <si>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</si>
  <si>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</si>
  <si>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</si>
  <si>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</si>
  <si>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</si>
  <si>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</si>
  <si>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</si>
  <si>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</si>
  <si>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</si>
  <si>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</si>
  <si>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</si>
  <si>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</si>
  <si>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</si>
  <si>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</si>
  <si>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</si>
  <si>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</si>
  <si>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</si>
  <si>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</si>
  <si>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</si>
  <si>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</si>
  <si>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</si>
  <si>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</si>
  <si>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</si>
  <si>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</si>
  <si>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</si>
  <si>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</si>
  <si>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</si>
  <si>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</si>
  <si>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</si>
  <si>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</si>
  <si>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</si>
  <si>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</si>
  <si>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</si>
  <si>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</si>
  <si>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</si>
  <si>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</si>
  <si>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</si>
  <si>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</si>
  <si>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</si>
  <si>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</si>
  <si>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</si>
  <si>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</si>
  <si>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</si>
  <si>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</si>
  <si>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</si>
  <si>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</si>
  <si>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</si>
  <si>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</si>
  <si>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</si>
  <si>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</si>
  <si>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</si>
  <si>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</si>
  <si>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</si>
  <si>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</si>
  <si>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</si>
  <si>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</si>
  <si>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</si>
  <si>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</si>
  <si>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</si>
  <si>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</si>
  <si>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</si>
  <si>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</si>
  <si>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</si>
  <si>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</si>
  <si>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</si>
  <si>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</si>
  <si>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</si>
  <si>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</si>
  <si>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</si>
  <si>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</si>
  <si>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</si>
  <si>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</si>
  <si>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</si>
  <si>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</si>
  <si>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</si>
  <si>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</si>
  <si>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</si>
  <si>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</si>
  <si>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</si>
  <si>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</si>
  <si>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</si>
  <si>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</si>
  <si>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</si>
  <si>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</si>
  <si>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</si>
  <si>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</si>
  <si>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</si>
  <si>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</si>
  <si>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</si>
  <si>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</si>
  <si>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</si>
  <si>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</si>
  <si>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</si>
  <si>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</si>
  <si>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</si>
  <si>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</si>
  <si>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</si>
  <si>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</si>
  <si>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</si>
  <si>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</si>
  <si>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</si>
  <si>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</si>
  <si>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</si>
  <si>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</si>
  <si>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</si>
  <si>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</si>
  <si>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</si>
  <si>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</si>
  <si>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</si>
  <si>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</si>
  <si>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</si>
  <si>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</si>
  <si>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</si>
  <si>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</si>
  <si>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</si>
  <si>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</si>
  <si>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</si>
  <si>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</si>
  <si>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</si>
  <si>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</si>
  <si>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</si>
  <si>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</si>
  <si>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</si>
  <si>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</si>
  <si>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</si>
  <si>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</si>
  <si>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</si>
  <si>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</si>
  <si>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</si>
  <si>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</si>
  <si>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</si>
  <si>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</si>
  <si>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</si>
  <si>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</si>
  <si>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</si>
  <si>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</si>
  <si>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</si>
  <si>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</si>
  <si>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</si>
  <si>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</si>
  <si>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</si>
  <si>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</si>
  <si>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</si>
  <si>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</si>
  <si>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</si>
  <si>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</si>
  <si>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</si>
  <si>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</si>
  <si>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</si>
  <si>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</si>
  <si>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</si>
  <si>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</si>
  <si>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</si>
  <si>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</si>
  <si>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</si>
  <si>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</si>
  <si>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</si>
  <si>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</si>
  <si>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</si>
  <si>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</si>
  <si>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</si>
  <si>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</si>
  <si>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</si>
  <si>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</si>
  <si>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</si>
  <si>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</si>
  <si>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</si>
  <si>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</si>
  <si>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</si>
  <si>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</si>
  <si>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</si>
  <si>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</si>
  <si>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</si>
  <si>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</si>
  <si>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</si>
  <si>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</si>
  <si>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</si>
  <si>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</si>
  <si>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</si>
  <si>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</si>
  <si>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</si>
  <si>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</si>
  <si>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</si>
  <si>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</si>
  <si>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</si>
  <si>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</si>
  <si>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</si>
  <si>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</si>
  <si>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</si>
  <si>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</si>
  <si>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</si>
  <si>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</si>
  <si>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</si>
  <si>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</si>
  <si>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</si>
  <si>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</si>
  <si>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</si>
  <si>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</si>
  <si>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</si>
  <si>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</si>
  <si>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</si>
  <si>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</si>
  <si>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</si>
  <si>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</si>
  <si>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</si>
  <si>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</si>
  <si>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</si>
  <si>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</si>
  <si>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</si>
  <si>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</si>
  <si>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</si>
  <si>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</si>
  <si>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</si>
  <si>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</si>
  <si>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</si>
  <si>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</si>
  <si>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</si>
  <si>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</si>
  <si>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</si>
  <si>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</si>
  <si>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</si>
  <si>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</si>
  <si>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</si>
  <si>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</si>
  <si>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</si>
  <si>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</si>
  <si>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</si>
  <si>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</si>
  <si>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</si>
  <si>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</si>
  <si>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</si>
  <si>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</si>
  <si>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</si>
  <si>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</si>
  <si>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</si>
  <si>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</si>
  <si>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</si>
  <si>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</si>
  <si>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</si>
  <si>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</si>
  <si>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</si>
  <si>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</si>
  <si>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</si>
  <si>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</si>
  <si>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</si>
  <si>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</si>
  <si>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</si>
  <si>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</si>
  <si>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</si>
  <si>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</si>
  <si>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</si>
  <si>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</si>
  <si>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</si>
  <si>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</si>
  <si>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</si>
  <si>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</si>
  <si>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</si>
  <si>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</si>
  <si>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</si>
  <si>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</si>
  <si>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</si>
  <si>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</si>
  <si>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</si>
  <si>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</si>
  <si>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</si>
  <si>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</si>
  <si>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</si>
  <si>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</si>
  <si>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</si>
  <si>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</si>
  <si>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</si>
  <si>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</si>
  <si>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</si>
  <si>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</si>
  <si>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</si>
  <si>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</si>
  <si>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</si>
  <si>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</si>
  <si>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</si>
  <si>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</si>
  <si>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</si>
  <si>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</si>
  <si>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</si>
  <si>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</si>
  <si>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</si>
  <si>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</si>
  <si>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</si>
  <si>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</si>
  <si>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</si>
  <si>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</si>
  <si>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</si>
  <si>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</si>
  <si>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</si>
  <si>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</si>
  <si>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</si>
  <si>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</si>
  <si>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</si>
  <si>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</si>
  <si>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</si>
  <si>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</si>
  <si>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</si>
  <si>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</si>
  <si>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</si>
  <si>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</si>
  <si>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</si>
  <si>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</si>
  <si>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</si>
  <si>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</si>
  <si>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</si>
  <si>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</si>
  <si>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</si>
  <si>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</si>
  <si>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</si>
  <si>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</si>
  <si>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</si>
  <si>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</si>
  <si>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</si>
  <si>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</si>
  <si>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</si>
  <si>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</si>
  <si>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</si>
  <si>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</si>
  <si>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</si>
  <si>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</si>
  <si>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</si>
  <si>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</si>
  <si>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</si>
  <si>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</si>
  <si>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</si>
  <si>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</si>
  <si>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</si>
  <si>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</si>
  <si>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</si>
  <si>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</si>
  <si>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</si>
  <si>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</si>
  <si>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</si>
  <si>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</si>
  <si>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</si>
  <si>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</si>
  <si>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</si>
  <si>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</si>
  <si>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</si>
  <si>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</si>
  <si>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</si>
  <si>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</si>
  <si>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</si>
  <si>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</si>
  <si>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</si>
  <si>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</si>
  <si>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</si>
  <si>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</si>
  <si>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</si>
  <si>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</si>
  <si>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</si>
  <si>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</si>
  <si>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</si>
  <si>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</si>
  <si>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</si>
  <si>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</si>
  <si>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</si>
  <si>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</si>
  <si>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</si>
  <si>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</si>
  <si>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</si>
  <si>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</si>
  <si>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</si>
  <si>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</si>
  <si>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</si>
  <si>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</si>
  <si>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</si>
  <si>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</si>
  <si>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</si>
  <si>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</si>
  <si>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</si>
  <si>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</si>
  <si>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</si>
  <si>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</si>
  <si>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</si>
  <si>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</si>
  <si>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</si>
  <si>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</si>
  <si>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</si>
  <si>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</si>
  <si>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</si>
  <si>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</si>
  <si>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</si>
  <si>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</si>
  <si>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</si>
  <si>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</si>
  <si>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</si>
  <si>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</si>
  <si>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</si>
  <si>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</si>
  <si>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</si>
  <si>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</si>
  <si>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</si>
  <si>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</si>
  <si>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</si>
  <si>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</si>
  <si>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</si>
  <si>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</si>
  <si>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</si>
  <si>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</si>
  <si>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</si>
  <si>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</si>
  <si>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</si>
  <si>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</si>
  <si>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</si>
  <si>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</si>
  <si>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</si>
  <si>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</si>
  <si>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</si>
  <si>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</si>
  <si>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</si>
  <si>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</si>
  <si>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</si>
  <si>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</si>
  <si>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</si>
  <si>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</si>
  <si>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</si>
  <si>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</si>
  <si>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</si>
  <si>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</si>
  <si>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</si>
  <si>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</si>
  <si>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</si>
  <si>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</si>
  <si>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</si>
  <si>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</si>
  <si>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</si>
  <si>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</si>
  <si>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</si>
  <si>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</si>
  <si>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</si>
  <si>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</si>
  <si>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</si>
  <si>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</si>
  <si>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</si>
  <si>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</si>
  <si>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</si>
  <si>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</si>
  <si>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</si>
  <si>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</si>
  <si>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</si>
  <si>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</si>
  <si>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</si>
  <si>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</si>
  <si>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</si>
  <si>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</si>
  <si>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</si>
  <si>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</si>
  <si>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</si>
  <si>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</si>
  <si>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</si>
  <si>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</si>
  <si>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</si>
  <si>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</si>
  <si>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</si>
  <si>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</si>
  <si>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</si>
  <si>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</si>
  <si>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</si>
  <si>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</si>
  <si>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</si>
  <si>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</si>
  <si>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</si>
  <si>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</si>
  <si>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</si>
  <si>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</si>
  <si>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</si>
  <si>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</si>
  <si>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</si>
  <si>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</si>
  <si>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</si>
  <si>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</si>
  <si>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</si>
  <si>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</si>
  <si>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</si>
  <si>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</si>
  <si>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</si>
  <si>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</si>
  <si>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</si>
  <si>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</si>
  <si>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</si>
  <si>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</si>
  <si>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</si>
  <si>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</si>
  <si>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</si>
  <si>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</si>
  <si>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</si>
  <si>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</si>
  <si>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</si>
  <si>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</si>
  <si>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</si>
  <si>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</si>
  <si>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</si>
  <si>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</si>
  <si>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</si>
  <si>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</si>
  <si>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</si>
  <si>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</si>
  <si>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</si>
  <si>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</si>
  <si>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</si>
  <si>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</si>
  <si>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</si>
  <si>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</si>
  <si>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</si>
  <si>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</si>
  <si>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</si>
  <si>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</si>
  <si>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</si>
  <si>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</si>
  <si>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</si>
  <si>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</si>
  <si>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</si>
  <si>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</si>
  <si>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</si>
  <si>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</si>
  <si>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</si>
  <si>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</si>
  <si>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</si>
  <si>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</si>
  <si>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</si>
  <si>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</si>
  <si>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</si>
  <si>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</si>
  <si>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</si>
  <si>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</si>
  <si>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</si>
  <si>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</si>
  <si>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</si>
  <si>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</si>
  <si>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</si>
  <si>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</si>
  <si>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</si>
  <si>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</si>
  <si>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</si>
  <si>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</si>
  <si>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</si>
  <si>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</si>
  <si>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</si>
  <si>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</si>
  <si>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</si>
  <si>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</si>
  <si>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</si>
  <si>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</si>
  <si>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</si>
  <si>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</si>
  <si>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</si>
  <si>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</si>
  <si>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</si>
  <si>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</si>
  <si>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</si>
  <si>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</si>
  <si>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</si>
  <si>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</si>
  <si>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</si>
  <si>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</si>
  <si>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</si>
  <si>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</si>
  <si>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</si>
  <si>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</si>
  <si>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</si>
  <si>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</si>
  <si>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</si>
  <si>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</si>
  <si>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</si>
  <si>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</si>
  <si>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</si>
  <si>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</si>
  <si>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</si>
  <si>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</si>
  <si>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</si>
  <si>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</si>
  <si>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</si>
  <si>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</si>
  <si>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</si>
  <si>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</si>
  <si>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</si>
  <si>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</si>
  <si>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</si>
  <si>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</si>
  <si>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</si>
  <si>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</si>
  <si>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</si>
  <si>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</si>
  <si>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</si>
  <si>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</si>
  <si>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</si>
  <si>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</si>
  <si>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</si>
  <si>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</si>
  <si>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</si>
  <si>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</si>
  <si>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</si>
  <si>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</si>
  <si>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</si>
  <si>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</si>
  <si>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</si>
  <si>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</si>
  <si>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</si>
  <si>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</si>
  <si>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</si>
  <si>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</si>
  <si>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</si>
  <si>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</si>
  <si>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</si>
  <si>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</si>
  <si>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</si>
  <si>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</si>
  <si>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</si>
  <si>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</si>
  <si>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</si>
  <si>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</si>
  <si>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</si>
  <si>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</si>
  <si>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</si>
  <si>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</si>
  <si>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</si>
  <si>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</si>
  <si>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</si>
  <si>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</si>
  <si>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</si>
  <si>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</si>
  <si>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</si>
  <si>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</si>
  <si>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</si>
  <si>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</si>
  <si>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</si>
  <si>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</si>
  <si>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</si>
  <si>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</si>
  <si>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</si>
  <si>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</si>
  <si>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</si>
  <si>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</si>
  <si>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</si>
  <si>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</si>
  <si>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</si>
  <si>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</si>
  <si>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</si>
  <si>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</si>
  <si>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</si>
  <si>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</si>
  <si>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</si>
  <si>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</si>
  <si>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</si>
  <si>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</si>
  <si>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</si>
  <si>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</si>
  <si>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</si>
  <si>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</si>
  <si>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</si>
  <si>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</si>
  <si>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</si>
  <si>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</si>
  <si>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</si>
  <si>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</si>
  <si>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</si>
  <si>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</si>
  <si>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</si>
  <si>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</si>
  <si>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</si>
  <si>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</si>
  <si>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</si>
  <si>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</si>
  <si>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</si>
  <si>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</si>
  <si>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</si>
  <si>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</si>
  <si>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</si>
  <si>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</si>
  <si>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</si>
  <si>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</si>
  <si>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</si>
  <si>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</si>
  <si>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</si>
  <si>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</si>
  <si>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</si>
  <si>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</si>
  <si>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</si>
  <si>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</si>
  <si>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</si>
  <si>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</si>
  <si>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</si>
  <si>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</si>
  <si>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</si>
  <si>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</si>
  <si>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</si>
  <si>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</si>
  <si>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</si>
  <si>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</si>
  <si>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</si>
  <si>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</si>
  <si>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</si>
  <si>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</si>
  <si>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</si>
  <si>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</si>
  <si>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</si>
  <si>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</si>
  <si>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</si>
  <si>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</si>
  <si>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</si>
  <si>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</si>
  <si>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</si>
  <si>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</si>
  <si>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</si>
  <si>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</si>
  <si>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</si>
  <si>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</si>
  <si>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</si>
  <si>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</si>
  <si>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</si>
  <si>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</si>
  <si>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</si>
  <si>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</si>
  <si>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</si>
  <si>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</si>
  <si>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</si>
  <si>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</si>
  <si>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</si>
  <si>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</si>
  <si>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</si>
  <si>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</si>
  <si>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</si>
  <si>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</si>
  <si>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</si>
  <si>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</si>
  <si>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</si>
  <si>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</si>
  <si>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</si>
  <si>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</si>
  <si>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</si>
  <si>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</si>
  <si>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</si>
  <si>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</si>
  <si>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</si>
  <si>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</si>
  <si>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</si>
  <si>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</si>
  <si>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</si>
  <si>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</si>
  <si>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</si>
  <si>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</si>
  <si>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</si>
  <si>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</si>
  <si>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</si>
  <si>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</si>
  <si>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</si>
  <si>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</si>
  <si>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</si>
  <si>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</si>
  <si>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</si>
  <si>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</si>
  <si>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</si>
  <si>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</si>
  <si>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</si>
  <si>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</si>
  <si>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</si>
  <si>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</si>
  <si>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</si>
  <si>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</si>
  <si>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</si>
  <si>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</si>
  <si>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</si>
  <si>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</si>
  <si>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</si>
  <si>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</si>
  <si>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</si>
  <si>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</si>
  <si>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</si>
  <si>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</si>
  <si>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</si>
  <si>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</si>
  <si>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</si>
  <si>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</si>
  <si>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</si>
  <si>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</si>
  <si>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</si>
  <si>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</si>
  <si>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</si>
  <si>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</si>
  <si>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</si>
  <si>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</si>
  <si>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</si>
  <si>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</si>
  <si>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</si>
  <si>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</si>
  <si>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</si>
  <si>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</si>
  <si>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</si>
  <si>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</si>
  <si>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</si>
  <si>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</si>
  <si>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</si>
  <si>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</si>
  <si>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</si>
  <si>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</si>
  <si>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</si>
  <si>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</si>
  <si>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</si>
  <si>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</si>
  <si>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</si>
  <si>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</si>
  <si>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</si>
  <si>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</si>
  <si>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</si>
  <si>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</si>
  <si>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</si>
  <si>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</si>
  <si>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</si>
  <si>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</si>
  <si>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</si>
  <si>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</si>
  <si>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</si>
  <si>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</si>
  <si>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</si>
  <si>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</si>
  <si>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</si>
  <si>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</si>
  <si>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</si>
  <si>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</si>
  <si>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</si>
  <si>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</si>
  <si>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</si>
  <si>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</si>
  <si>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</si>
  <si>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</si>
  <si>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</si>
  <si>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</si>
  <si>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</si>
  <si>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</si>
  <si>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</si>
  <si>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</si>
  <si>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</si>
  <si>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</si>
  <si>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</si>
  <si>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</si>
  <si>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</si>
  <si>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</si>
  <si>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</si>
  <si>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</si>
  <si>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</si>
  <si>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</si>
  <si>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</si>
  <si>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</si>
  <si>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</si>
  <si>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</si>
  <si>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</si>
  <si>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</si>
  <si>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</si>
  <si>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</si>
  <si>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</si>
  <si>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</si>
  <si>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</si>
  <si>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</si>
  <si>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</si>
  <si>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</si>
  <si>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</si>
  <si>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</si>
  <si>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</si>
  <si>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</si>
  <si>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</si>
  <si>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</si>
  <si>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</si>
  <si>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</si>
  <si>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</si>
  <si>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</si>
  <si>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</si>
  <si>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</si>
  <si>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</si>
  <si>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</si>
  <si>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</si>
  <si>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</si>
  <si>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</si>
  <si>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</si>
  <si>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</si>
  <si>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</si>
  <si>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</si>
  <si>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</si>
  <si>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</si>
  <si>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</si>
  <si>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</si>
  <si>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</si>
  <si>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</si>
  <si>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</si>
  <si>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</si>
  <si>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</si>
  <si>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</si>
  <si>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</si>
  <si>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</si>
  <si>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</si>
  <si>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</si>
  <si>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</si>
  <si>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</si>
  <si>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</si>
  <si>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</si>
  <si>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</si>
  <si>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</si>
  <si>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</si>
  <si>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</si>
  <si>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</si>
  <si>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</si>
  <si>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</si>
  <si>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</si>
  <si>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</si>
  <si>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</si>
  <si>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</si>
  <si>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</si>
  <si>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</si>
  <si>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</si>
  <si>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</si>
  <si>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</si>
  <si>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</si>
  <si>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</si>
  <si>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</si>
  <si>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</si>
  <si>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</si>
  <si>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</si>
  <si>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</si>
  <si>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</si>
  <si>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</si>
  <si>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</si>
  <si>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</si>
  <si>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</si>
  <si>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</si>
  <si>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</si>
  <si>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</si>
  <si>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</si>
  <si>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</si>
  <si>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</si>
  <si>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</si>
  <si>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</si>
  <si>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</si>
  <si>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</si>
  <si>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</si>
  <si>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</si>
  <si>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</si>
  <si>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</si>
  <si>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</si>
  <si>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</si>
  <si>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</si>
  <si>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</si>
  <si>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</si>
  <si>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</si>
  <si>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</si>
  <si>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</si>
  <si>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</si>
  <si>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</si>
  <si>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</si>
  <si>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</si>
  <si>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</si>
  <si>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</si>
  <si>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</si>
  <si>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</si>
  <si>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</si>
  <si>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</si>
  <si>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</si>
  <si>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</si>
  <si>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</si>
  <si>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</si>
  <si>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</si>
  <si>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</si>
  <si>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</si>
  <si>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</si>
  <si>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</si>
  <si>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</si>
  <si>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</si>
  <si>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</si>
  <si>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</si>
  <si>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</si>
  <si>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</si>
  <si>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</si>
  <si>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</si>
  <si>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</si>
  <si>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</si>
  <si>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</si>
  <si>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</si>
  <si>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</si>
  <si>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</si>
  <si>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</si>
  <si>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</si>
  <si>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</si>
  <si>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</si>
  <si>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</si>
  <si>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</si>
  <si>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</si>
  <si>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</si>
  <si>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</si>
  <si>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</si>
  <si>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</si>
  <si>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</si>
  <si>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</si>
  <si>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</si>
  <si>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</si>
  <si>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</si>
  <si>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</si>
  <si>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</si>
  <si>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</si>
  <si>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</si>
  <si>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</si>
  <si>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</si>
  <si>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</si>
  <si>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</si>
  <si>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</si>
  <si>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</si>
  <si>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</si>
  <si>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</si>
  <si>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</si>
  <si>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</si>
  <si>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</si>
  <si>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</si>
  <si>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</si>
  <si>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</si>
  <si>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</si>
  <si>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</si>
  <si>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</si>
  <si>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</si>
  <si>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</si>
  <si>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</si>
  <si>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</si>
  <si>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</si>
  <si>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</si>
  <si>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</si>
  <si>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</si>
  <si>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</si>
  <si>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</si>
  <si>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</si>
  <si>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</si>
  <si>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</si>
  <si>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</si>
  <si>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</si>
  <si>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</si>
  <si>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</si>
  <si>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</si>
  <si>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</si>
  <si>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</si>
  <si>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</si>
  <si>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</si>
  <si>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</si>
  <si>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</si>
  <si>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</si>
  <si>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</si>
  <si>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</si>
  <si>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</si>
  <si>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</si>
  <si>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</si>
  <si>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</si>
  <si>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</si>
  <si>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</si>
  <si>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</si>
  <si>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</si>
  <si>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</si>
  <si>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</si>
  <si>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</si>
  <si>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</si>
  <si>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</si>
  <si>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</si>
  <si>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</si>
  <si>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</si>
  <si>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</si>
  <si>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</si>
  <si>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</si>
  <si>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</si>
  <si>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</si>
  <si>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</si>
  <si>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</si>
  <si>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</si>
  <si>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</si>
  <si>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</si>
  <si>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</si>
  <si>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</si>
  <si>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</si>
  <si>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</si>
  <si>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</si>
  <si>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</si>
  <si>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</si>
  <si>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</si>
  <si>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</si>
  <si>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</si>
  <si>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</si>
  <si>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</si>
  <si>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</si>
  <si>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</si>
  <si>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</si>
  <si>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</si>
  <si>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</si>
  <si>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</si>
  <si>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</si>
  <si>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</si>
  <si>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</si>
  <si>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</si>
  <si>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</si>
  <si>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</si>
  <si>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</si>
  <si>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</si>
  <si>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</si>
  <si>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</si>
  <si>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</si>
  <si>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</si>
  <si>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</si>
  <si>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</si>
  <si>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</si>
  <si>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</si>
  <si>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</si>
  <si>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</si>
  <si>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</si>
  <si>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</si>
  <si>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</si>
  <si>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</si>
  <si>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</si>
  <si>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</si>
  <si>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</si>
  <si>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</si>
  <si>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</si>
  <si>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</si>
  <si>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</si>
  <si>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</si>
  <si>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</si>
  <si>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</si>
  <si>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</si>
  <si>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</si>
  <si>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</si>
  <si>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</si>
  <si>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</si>
  <si>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</si>
  <si>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</si>
  <si>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</si>
  <si>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</si>
  <si>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</si>
  <si>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</si>
  <si>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</si>
  <si>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</si>
  <si>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</si>
  <si>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</si>
  <si>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</si>
  <si>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</si>
  <si>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</si>
  <si>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</si>
  <si>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</si>
  <si>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</si>
  <si>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</si>
  <si>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</si>
  <si>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</si>
  <si>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</si>
  <si>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</si>
  <si>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</si>
  <si>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</si>
  <si>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</si>
  <si>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</si>
  <si>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</si>
  <si>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</si>
  <si>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</si>
  <si>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</si>
  <si>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</si>
  <si>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</si>
  <si>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</si>
  <si>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</si>
  <si>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</si>
  <si>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</si>
  <si>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</si>
  <si>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</si>
  <si>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</si>
  <si>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</si>
  <si>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</si>
  <si>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</si>
  <si>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</si>
  <si>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</si>
  <si>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</si>
  <si>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</si>
  <si>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</si>
  <si>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</si>
  <si>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</si>
  <si>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</si>
  <si>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</si>
  <si>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</si>
  <si>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</si>
  <si>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</si>
  <si>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</si>
  <si>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</si>
  <si>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</si>
  <si>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</si>
  <si>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</si>
  <si>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</si>
  <si>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</si>
  <si>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</si>
  <si>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</si>
  <si>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</si>
  <si>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</si>
  <si>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</si>
  <si>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</si>
  <si>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</si>
  <si>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</si>
  <si>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</si>
  <si>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</si>
  <si>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</si>
  <si>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</si>
  <si>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</si>
  <si>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</si>
  <si>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</si>
  <si>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</si>
  <si>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</si>
  <si>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</si>
  <si>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</si>
  <si>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</si>
  <si>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</si>
  <si>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</si>
  <si>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</si>
  <si>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</si>
  <si>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</si>
  <si>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</si>
  <si>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</si>
  <si>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</si>
  <si>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</si>
  <si>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</si>
  <si>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</si>
  <si>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</si>
  <si>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</si>
  <si>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</si>
  <si>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</si>
  <si>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</si>
  <si>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</si>
  <si>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</si>
  <si>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</si>
  <si>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</si>
  <si>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</si>
  <si>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</si>
  <si>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</si>
  <si>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</si>
  <si>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</si>
  <si>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</si>
  <si>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</si>
  <si>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</si>
  <si>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</si>
  <si>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</si>
  <si>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</si>
  <si>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</si>
  <si>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</si>
  <si>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</si>
  <si>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</si>
  <si>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</si>
  <si>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</si>
  <si>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</si>
  <si>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</si>
  <si>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</si>
  <si>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</si>
  <si>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</si>
  <si>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</si>
  <si>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</si>
  <si>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</si>
  <si>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</si>
  <si>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</si>
  <si>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</si>
  <si>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</si>
  <si>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</si>
  <si>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</si>
  <si>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</si>
  <si>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</si>
  <si>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</si>
  <si>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</si>
  <si>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</si>
  <si>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</si>
  <si>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</si>
  <si>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</si>
  <si>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</si>
  <si>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</si>
  <si>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</si>
  <si>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</si>
  <si>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</si>
  <si>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</si>
  <si>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</si>
  <si>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</si>
  <si>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</si>
  <si>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</si>
  <si>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</si>
  <si>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</si>
  <si>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</si>
  <si>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</si>
  <si>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</si>
  <si>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</si>
  <si>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</si>
  <si>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</si>
  <si>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</si>
  <si>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</si>
  <si>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</si>
  <si>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</si>
  <si>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</si>
  <si>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</si>
  <si>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</si>
  <si>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</si>
  <si>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</si>
  <si>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</si>
  <si>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</si>
  <si>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</si>
  <si>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</si>
  <si>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</si>
  <si>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</si>
  <si>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</si>
  <si>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</si>
  <si>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</si>
  <si>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</si>
  <si>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</si>
  <si>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</si>
  <si>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</si>
  <si>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</si>
  <si>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</si>
  <si>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</si>
  <si>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</si>
  <si>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</si>
  <si>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</si>
  <si>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</si>
  <si>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</si>
  <si>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</si>
  <si>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</si>
  <si>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</si>
  <si>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</si>
  <si>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</si>
  <si>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</si>
  <si>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</si>
  <si>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</si>
  <si>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</si>
  <si>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</si>
  <si>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</si>
  <si>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</si>
  <si>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</si>
  <si>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</si>
  <si>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</si>
  <si>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</si>
  <si>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</si>
  <si>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</si>
  <si>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</si>
  <si>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</si>
  <si>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</si>
  <si>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</si>
  <si>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</si>
  <si>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</si>
  <si>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</si>
  <si>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</si>
  <si>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</si>
  <si>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</si>
  <si>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</si>
  <si>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</si>
  <si>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</si>
  <si>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</si>
  <si>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</si>
  <si>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</si>
  <si>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</si>
  <si>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</si>
  <si>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</si>
  <si>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</si>
  <si>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</si>
  <si>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</si>
  <si>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</si>
  <si>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</si>
  <si>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</si>
  <si>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</si>
  <si>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</si>
  <si>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</si>
  <si>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</si>
  <si>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</si>
  <si>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</si>
  <si>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</si>
  <si>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</si>
  <si>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</si>
  <si>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</si>
  <si>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</si>
  <si>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</si>
  <si>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</si>
  <si>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</si>
  <si>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</si>
  <si>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</si>
  <si>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</si>
  <si>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</si>
  <si>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</si>
  <si>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</si>
  <si>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</si>
  <si>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</si>
  <si>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</si>
  <si>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</si>
  <si>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</si>
  <si>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</si>
  <si>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</si>
  <si>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</si>
  <si>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</si>
  <si>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</si>
  <si>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</si>
  <si>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</si>
  <si>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</si>
  <si>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</si>
  <si>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</si>
  <si>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</si>
  <si>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</si>
  <si>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</si>
  <si>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</si>
  <si>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</si>
  <si>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</si>
  <si>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</si>
  <si>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</si>
  <si>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</si>
  <si>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</si>
  <si>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</si>
  <si>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</si>
  <si>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</si>
  <si>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</si>
  <si>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</si>
  <si>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</si>
  <si>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</si>
  <si>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</si>
  <si>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</si>
  <si>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</si>
  <si>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</si>
  <si>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</si>
  <si>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</si>
  <si>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</si>
  <si>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</si>
  <si>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</si>
  <si>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</si>
  <si>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</si>
  <si>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</si>
  <si>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</si>
  <si>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</si>
  <si>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</si>
  <si>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</si>
  <si>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</si>
  <si>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</si>
  <si>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</si>
  <si>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</si>
  <si>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</si>
  <si>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</si>
  <si>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</si>
  <si>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</si>
  <si>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</si>
  <si>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</si>
  <si>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</si>
  <si>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</si>
  <si>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</si>
  <si>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</si>
  <si>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</si>
  <si>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</si>
  <si>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</si>
  <si>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</si>
  <si>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</si>
  <si>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</si>
  <si>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</si>
  <si>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</si>
  <si>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</si>
  <si>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</si>
  <si>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</si>
  <si>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</si>
  <si>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</si>
  <si>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</si>
  <si>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</si>
  <si>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</si>
  <si>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</si>
  <si>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</si>
  <si>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</si>
  <si>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</si>
  <si>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</si>
  <si>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</si>
  <si>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</si>
  <si>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</si>
  <si>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</si>
  <si>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</si>
  <si>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</si>
  <si>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</si>
  <si>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</si>
  <si>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</si>
  <si>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</si>
  <si>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</si>
  <si>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</si>
  <si>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</si>
  <si>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</si>
  <si>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</si>
  <si>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</si>
  <si>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</si>
  <si>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</si>
  <si>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</si>
  <si>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</si>
  <si>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</si>
  <si>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</si>
  <si>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</si>
  <si>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</si>
  <si>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</si>
  <si>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</si>
  <si>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</si>
  <si>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</si>
  <si>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</si>
  <si>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</si>
  <si>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</si>
  <si>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</si>
  <si>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</si>
  <si>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</si>
  <si>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</si>
  <si>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</si>
  <si>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</si>
  <si>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</si>
  <si>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</si>
  <si>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</si>
  <si>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</si>
  <si>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</si>
  <si>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</si>
  <si>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</si>
  <si>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</si>
  <si>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</si>
  <si>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</si>
  <si>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</si>
  <si>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</si>
  <si>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</si>
  <si>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</si>
  <si>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</si>
  <si>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</si>
  <si>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</si>
  <si>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</si>
  <si>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</si>
  <si>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</si>
  <si>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</si>
  <si>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</si>
  <si>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</si>
  <si>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</si>
  <si>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</si>
  <si>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</si>
  <si>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</si>
  <si>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</si>
  <si>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</si>
  <si>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</si>
  <si>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</si>
  <si>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</si>
  <si>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</si>
  <si>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</si>
  <si>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</si>
  <si>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</si>
  <si>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</si>
  <si>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</si>
  <si>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</si>
  <si>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</si>
  <si>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</si>
  <si>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</si>
  <si>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</si>
  <si>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</si>
  <si>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</si>
  <si>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</si>
  <si>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</si>
  <si>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</si>
  <si>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</si>
  <si>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</si>
  <si>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</si>
  <si>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</si>
  <si>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</si>
  <si>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</si>
  <si>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</si>
  <si>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</si>
  <si>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</si>
  <si>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</si>
  <si>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</si>
  <si>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</si>
  <si>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</si>
  <si>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</si>
  <si>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</si>
  <si>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</si>
  <si>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</si>
  <si>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</si>
  <si>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</si>
  <si>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</si>
  <si>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</si>
  <si>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</si>
  <si>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</si>
  <si>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</si>
  <si>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</si>
  <si>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</si>
  <si>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</si>
  <si>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</si>
  <si>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</si>
  <si>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</si>
  <si>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</si>
  <si>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</si>
  <si>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</si>
  <si>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</si>
  <si>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</si>
  <si>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</si>
  <si>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</si>
  <si>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</si>
  <si>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</si>
  <si>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</si>
  <si>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</si>
  <si>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</si>
  <si>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</si>
  <si>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</si>
  <si>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</si>
  <si>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</si>
  <si>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</si>
  <si>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</si>
  <si>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</si>
  <si>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</si>
  <si>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</si>
  <si>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</si>
  <si>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</si>
  <si>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</si>
  <si>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</si>
  <si>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</si>
  <si>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</si>
  <si>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</si>
  <si>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</si>
  <si>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</si>
  <si>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</si>
  <si>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</si>
  <si>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</si>
  <si>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</si>
  <si>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</si>
  <si>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</si>
  <si>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</si>
  <si>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</si>
  <si>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</si>
  <si>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</si>
  <si>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</si>
  <si>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</si>
  <si>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</si>
  <si>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</si>
  <si>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</si>
  <si>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</si>
  <si>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</si>
  <si>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</si>
  <si>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</si>
  <si>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</si>
  <si>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</si>
  <si>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</si>
  <si>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</si>
  <si>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</si>
  <si>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</si>
  <si>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</si>
  <si>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</si>
  <si>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</si>
  <si>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</si>
  <si>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</si>
  <si>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</si>
  <si>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</si>
  <si>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</si>
  <si>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</si>
  <si>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</si>
  <si>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</si>
  <si>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</si>
  <si>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</si>
  <si>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</si>
  <si>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</si>
  <si>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</si>
  <si>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</si>
  <si>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</si>
  <si>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</si>
  <si>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</si>
  <si>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</si>
  <si>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</si>
  <si>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</si>
  <si>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</si>
  <si>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</si>
  <si>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</si>
  <si>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</si>
  <si>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</si>
  <si>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</si>
  <si>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</si>
  <si>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</si>
  <si>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</si>
  <si>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</si>
  <si>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</si>
  <si>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</si>
  <si>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</si>
  <si>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</si>
  <si>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</si>
  <si>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</si>
  <si>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</si>
  <si>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</si>
  <si>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</si>
  <si>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</si>
  <si>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</si>
  <si>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</si>
  <si>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</si>
  <si>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</si>
  <si>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</si>
  <si>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</si>
  <si>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</si>
  <si>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</si>
  <si>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</si>
  <si>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</si>
  <si>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</si>
  <si>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</si>
  <si>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</si>
  <si>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</si>
  <si>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</si>
  <si>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</si>
  <si>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</si>
  <si>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</si>
  <si>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</si>
  <si>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</si>
  <si>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</si>
  <si>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</si>
  <si>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</si>
  <si>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</si>
  <si>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</si>
  <si>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</si>
  <si>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</si>
  <si>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</si>
  <si>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</si>
  <si>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</si>
  <si>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</si>
  <si>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</si>
  <si>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</si>
  <si>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</si>
  <si>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</si>
  <si>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</si>
  <si>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</si>
  <si>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</si>
  <si>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</si>
  <si>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</si>
  <si>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</si>
  <si>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</si>
  <si>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</si>
  <si>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</si>
  <si>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</si>
  <si>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</si>
  <si>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</si>
  <si>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</si>
  <si>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</si>
  <si>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</si>
  <si>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</si>
  <si>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</si>
  <si>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</si>
  <si>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</si>
  <si>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</si>
  <si>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</si>
  <si>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</si>
  <si>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</si>
  <si>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</si>
  <si>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</si>
  <si>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</si>
  <si>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</si>
  <si>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</si>
  <si>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</si>
  <si>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</si>
  <si>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</si>
  <si>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</si>
  <si>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</si>
  <si>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</si>
  <si>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</si>
  <si>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</si>
  <si>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</si>
  <si>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</si>
  <si>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</si>
  <si>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</si>
  <si>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</si>
  <si>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</si>
  <si>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</si>
  <si>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</si>
  <si>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</si>
  <si>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</si>
  <si>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</si>
  <si>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</si>
  <si>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</si>
  <si>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</si>
  <si>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</si>
  <si>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</si>
  <si>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</si>
  <si>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</si>
  <si>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</si>
  <si>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</si>
  <si>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</si>
  <si>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</si>
  <si>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</si>
  <si>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</si>
  <si>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</si>
  <si>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</si>
  <si>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</si>
  <si>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</si>
  <si>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</si>
  <si>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</si>
  <si>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</si>
  <si>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</si>
  <si>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</si>
  <si>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</si>
  <si>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</si>
  <si>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</si>
  <si>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</si>
  <si>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</si>
  <si>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</si>
  <si>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</si>
  <si>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</si>
  <si>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</si>
  <si>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</si>
  <si>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</si>
  <si>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</si>
  <si>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</si>
  <si>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</si>
  <si>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</si>
  <si>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</si>
  <si>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</si>
  <si>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</si>
  <si>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</si>
  <si>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</si>
  <si>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</si>
  <si>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</si>
  <si>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</si>
  <si>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</si>
  <si>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</si>
  <si>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</si>
  <si>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</si>
  <si>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</si>
  <si>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</si>
  <si>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</si>
  <si>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</si>
  <si>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</si>
  <si>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</si>
  <si>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</si>
  <si>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</si>
  <si>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</si>
  <si>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</si>
  <si>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</si>
  <si>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</si>
  <si>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</si>
  <si>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</si>
  <si>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</si>
  <si>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</si>
  <si>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</si>
  <si>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</si>
  <si>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</si>
  <si>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</si>
  <si>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</si>
  <si>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</si>
  <si>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</si>
  <si>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</si>
  <si>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</si>
  <si>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</si>
  <si>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</si>
  <si>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</si>
  <si>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</si>
  <si>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</si>
  <si>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</si>
  <si>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</si>
  <si>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</si>
  <si>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</si>
  <si>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</si>
  <si>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</si>
  <si>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</si>
  <si>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</si>
  <si>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</si>
  <si>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</si>
  <si>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</si>
  <si>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</si>
  <si>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</si>
  <si>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</si>
  <si>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</si>
  <si>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</si>
  <si>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</si>
  <si>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</si>
  <si>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</si>
  <si>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</si>
  <si>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</si>
  <si>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</si>
  <si>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</si>
  <si>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</si>
  <si>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</si>
  <si>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</si>
  <si>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</si>
  <si>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</si>
  <si>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</si>
  <si>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</si>
  <si>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</si>
  <si>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</si>
  <si>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</si>
  <si>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</si>
  <si>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</si>
  <si>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</si>
  <si>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</si>
  <si>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</si>
  <si>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</si>
  <si>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</si>
  <si>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</si>
  <si>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</si>
  <si>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</si>
  <si>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</si>
  <si>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</si>
  <si>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</si>
  <si>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</si>
  <si>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</si>
  <si>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</si>
  <si>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</si>
  <si>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</si>
  <si>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</si>
  <si>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</si>
  <si>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</si>
  <si>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</si>
  <si>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</si>
  <si>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</si>
  <si>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</si>
  <si>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</si>
  <si>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</si>
  <si>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</si>
  <si>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</si>
  <si>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</si>
  <si>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</si>
  <si>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</si>
  <si>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</si>
  <si>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</si>
  <si>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</si>
  <si>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</si>
  <si>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</si>
  <si>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</si>
  <si>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</si>
  <si>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</si>
  <si>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</si>
  <si>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</si>
  <si>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</si>
  <si>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</si>
  <si>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</si>
  <si>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</si>
  <si>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</si>
  <si>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</si>
  <si>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</si>
  <si>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</si>
  <si>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</si>
  <si>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</si>
  <si>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</si>
  <si>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</si>
  <si>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</si>
  <si>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</si>
  <si>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</si>
  <si>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</si>
  <si>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</si>
  <si>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</si>
  <si>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</si>
  <si>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</si>
  <si>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</si>
  <si>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</si>
  <si>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</si>
  <si>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</si>
  <si>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</si>
  <si>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</si>
  <si>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</si>
  <si>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</si>
  <si>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</si>
  <si>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</si>
  <si>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</si>
  <si>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</si>
  <si>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</si>
  <si>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</si>
  <si>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</si>
  <si>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</si>
  <si>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</si>
  <si>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</si>
  <si>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</si>
  <si>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</si>
  <si>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</si>
  <si>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</si>
  <si>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</si>
  <si>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</si>
  <si>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</si>
  <si>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</si>
  <si>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</si>
  <si>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</si>
  <si>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</si>
  <si>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</si>
  <si>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</si>
  <si>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</si>
  <si>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</si>
  <si>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</si>
  <si>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</si>
  <si>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</si>
  <si>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</si>
  <si>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</si>
  <si>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</si>
  <si>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</si>
  <si>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</si>
  <si>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</si>
  <si>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</si>
  <si>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</si>
  <si>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</si>
  <si>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</si>
  <si>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</si>
  <si>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</si>
  <si>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</si>
  <si>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</si>
  <si>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</si>
  <si>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</si>
  <si>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</si>
  <si>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</si>
  <si>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</si>
  <si>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</si>
  <si>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</si>
  <si>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</si>
  <si>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</si>
  <si>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</si>
  <si>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</si>
  <si>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</si>
  <si>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</si>
  <si>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</si>
  <si>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</si>
  <si>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</si>
  <si>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</si>
  <si>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</si>
  <si>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</si>
  <si>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</si>
  <si>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</si>
  <si>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</si>
  <si>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</si>
  <si>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</si>
  <si>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</si>
  <si>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</si>
  <si>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</si>
  <si>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</si>
  <si>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</si>
  <si>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</si>
  <si>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</si>
  <si>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</si>
  <si>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</si>
  <si>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</si>
  <si>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</si>
  <si>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</si>
  <si>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</si>
  <si>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</si>
  <si>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</si>
  <si>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</si>
  <si>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</si>
  <si>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</si>
  <si>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</si>
  <si>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</si>
  <si>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</si>
  <si>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</si>
  <si>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</si>
  <si>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</si>
  <si>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</si>
  <si>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</si>
  <si>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</si>
  <si>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</si>
  <si>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</si>
  <si>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</si>
  <si>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</si>
  <si>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</si>
  <si>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</si>
  <si>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</si>
  <si>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</si>
  <si>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</si>
  <si>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</si>
  <si>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</si>
  <si>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</si>
  <si>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</si>
  <si>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</si>
  <si>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</si>
  <si>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</si>
  <si>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</si>
  <si>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</si>
  <si>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</si>
  <si>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</si>
  <si>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</si>
  <si>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</si>
  <si>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</si>
  <si>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</si>
  <si>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</si>
  <si>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</si>
  <si>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</si>
  <si>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</si>
  <si>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</si>
  <si>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</si>
  <si>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</si>
  <si>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</si>
  <si>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</si>
  <si>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</si>
  <si>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</si>
  <si>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</si>
  <si>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</si>
  <si>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</si>
  <si>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</si>
  <si>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</si>
  <si>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</si>
  <si>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</si>
  <si>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</si>
  <si>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</si>
  <si>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</si>
  <si>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</si>
  <si>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</si>
  <si>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</si>
  <si>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</si>
  <si>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</si>
  <si>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</si>
  <si>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</si>
  <si>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</si>
  <si>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</si>
  <si>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</si>
  <si>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</si>
  <si>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</si>
  <si>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</si>
  <si>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</si>
  <si>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</si>
  <si>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</si>
  <si>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</si>
  <si>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</si>
  <si>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</si>
  <si>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</si>
  <si>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</si>
  <si>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</si>
  <si>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</si>
  <si>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</si>
  <si>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</si>
  <si>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</si>
  <si>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</si>
  <si>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</si>
  <si>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</si>
  <si>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</si>
  <si>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</si>
  <si>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</si>
  <si>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</si>
  <si>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</si>
  <si>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</si>
  <si>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</si>
  <si>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</si>
  <si>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</si>
  <si>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</si>
  <si>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</si>
  <si>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</si>
  <si>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</si>
  <si>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</si>
  <si>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</si>
  <si>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</si>
  <si>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</si>
  <si>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</si>
  <si>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</si>
  <si>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</si>
  <si>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</si>
  <si>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</si>
  <si>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</si>
  <si>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</si>
  <si>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</si>
  <si>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</si>
  <si>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</si>
  <si>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</si>
  <si>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</si>
  <si>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</si>
  <si>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</si>
  <si>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</si>
  <si>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</si>
  <si>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</si>
  <si>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</si>
  <si>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</si>
  <si>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</si>
  <si>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</si>
  <si>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</si>
  <si>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</si>
  <si>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</si>
  <si>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</si>
  <si>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</si>
  <si>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</si>
  <si>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</si>
  <si>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</si>
  <si>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</si>
  <si>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</si>
  <si>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</si>
  <si>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</si>
  <si>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</si>
  <si>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</si>
  <si>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</si>
  <si>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</si>
  <si>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</si>
  <si>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</si>
  <si>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</si>
  <si>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</si>
  <si>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</si>
  <si>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</si>
  <si>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</si>
  <si>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</si>
  <si>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</si>
  <si>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</si>
  <si>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</si>
  <si>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</si>
  <si>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</si>
  <si>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</si>
  <si>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</si>
  <si>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</si>
  <si>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</si>
  <si>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</si>
  <si>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</si>
  <si>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</si>
  <si>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</si>
  <si>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</si>
  <si>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</si>
  <si>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</si>
  <si>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</si>
  <si>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</si>
  <si>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</si>
  <si>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</si>
  <si>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</si>
  <si>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</si>
  <si>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</si>
  <si>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</si>
  <si>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</si>
  <si>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</si>
  <si>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</si>
  <si>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</si>
  <si>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</si>
  <si>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</si>
  <si>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</si>
  <si>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</si>
  <si>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</si>
  <si>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</si>
  <si>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</si>
  <si>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</si>
  <si>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</si>
  <si>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</si>
  <si>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</si>
  <si>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</si>
  <si>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</si>
  <si>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</si>
  <si>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</si>
  <si>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</si>
  <si>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</si>
  <si>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</si>
  <si>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</si>
  <si>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</si>
  <si>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</si>
  <si>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</si>
  <si>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</si>
  <si>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</si>
  <si>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</si>
  <si>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</si>
  <si>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</si>
  <si>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</si>
  <si>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</si>
  <si>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</si>
  <si>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</si>
  <si>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</si>
  <si>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</si>
  <si>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</si>
  <si>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</si>
  <si>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</si>
  <si>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</si>
  <si>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</si>
  <si>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</si>
  <si>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</si>
  <si>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</si>
  <si>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</si>
  <si>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</si>
  <si>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</si>
  <si>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</si>
  <si>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</si>
  <si>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</si>
  <si>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</si>
  <si>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</si>
  <si>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</si>
  <si>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</si>
  <si>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</si>
  <si>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</si>
  <si>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</si>
  <si>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</si>
  <si>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</si>
  <si>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</si>
  <si>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</si>
  <si>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</si>
  <si>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</si>
  <si>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</si>
  <si>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</si>
  <si>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</si>
  <si>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</si>
  <si>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</si>
  <si>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</si>
  <si>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</si>
  <si>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</si>
  <si>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</si>
  <si>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</si>
  <si>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</si>
  <si>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</si>
  <si>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</si>
  <si>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</si>
  <si>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</si>
  <si>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</si>
  <si>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</si>
  <si>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</si>
  <si>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</si>
  <si>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</si>
  <si>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</si>
  <si>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</si>
  <si>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</si>
  <si>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</si>
  <si>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</si>
  <si>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</si>
  <si>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</si>
  <si>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</si>
  <si>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</si>
  <si>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</si>
  <si>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</si>
  <si>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</si>
  <si>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</si>
  <si>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</si>
  <si>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</si>
  <si>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</si>
  <si>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</si>
  <si>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</si>
  <si>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</si>
  <si>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</si>
  <si>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</si>
  <si>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</si>
  <si>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</si>
  <si>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</si>
  <si>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</si>
  <si>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</si>
  <si>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</si>
  <si>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</si>
  <si>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</si>
  <si>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</si>
  <si>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</si>
  <si>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</si>
  <si>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</si>
  <si>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</si>
  <si>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</si>
  <si>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</si>
  <si>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</si>
  <si>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</si>
  <si>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</si>
  <si>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</si>
  <si>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</si>
  <si>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</si>
  <si>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</si>
  <si>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</si>
  <si>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</si>
  <si>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</si>
  <si>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</si>
  <si>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</si>
  <si>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</si>
  <si>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</si>
  <si>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</si>
  <si>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</si>
  <si>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</si>
  <si>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</si>
  <si>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</si>
  <si>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</si>
  <si>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</si>
  <si>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</si>
  <si>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</si>
  <si>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</si>
  <si>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</si>
  <si>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</si>
  <si>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</si>
  <si>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</si>
  <si>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</si>
  <si>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</si>
  <si>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</si>
  <si>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</si>
  <si>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</si>
  <si>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</si>
  <si>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</si>
  <si>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</si>
  <si>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</si>
  <si>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</si>
  <si>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</si>
  <si>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</si>
  <si>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</si>
  <si>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</si>
  <si>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</si>
  <si>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</si>
  <si>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</si>
  <si>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</si>
  <si>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</si>
  <si>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</si>
  <si>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</si>
  <si>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</si>
  <si>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</si>
  <si>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</si>
  <si>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</si>
  <si>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</si>
  <si>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</si>
  <si>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</si>
  <si>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</si>
  <si>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</si>
  <si>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</si>
  <si>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</si>
  <si>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</si>
  <si>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</si>
  <si>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</si>
  <si>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</si>
  <si>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</si>
  <si>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</si>
  <si>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</si>
  <si>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</si>
  <si>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</si>
  <si>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</si>
  <si>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</si>
  <si>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</si>
  <si>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</si>
  <si>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</si>
  <si>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</si>
  <si>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</si>
  <si>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</si>
  <si>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</si>
  <si>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</si>
  <si>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</si>
  <si>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</si>
  <si>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</si>
  <si>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</si>
  <si>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</si>
  <si>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</si>
  <si>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</si>
  <si>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</si>
  <si>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</si>
  <si>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</si>
  <si>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</si>
  <si>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</si>
  <si>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</si>
  <si>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</si>
  <si>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</si>
  <si>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</si>
  <si>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</si>
  <si>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</si>
  <si>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</si>
  <si>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</si>
  <si>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</si>
  <si>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</si>
  <si>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</si>
  <si>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</si>
  <si>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</si>
  <si>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</si>
  <si>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</si>
  <si>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</si>
  <si>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</si>
  <si>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</si>
  <si>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</si>
  <si>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</si>
  <si>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</si>
  <si>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</si>
  <si>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</si>
  <si>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</si>
  <si>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</si>
  <si>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</si>
  <si>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</si>
  <si>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</si>
  <si>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</si>
  <si>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</si>
  <si>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</si>
  <si>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</si>
  <si>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</si>
  <si>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</si>
  <si>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</si>
  <si>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</si>
  <si>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</si>
  <si>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</si>
  <si>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</si>
  <si>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</si>
  <si>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</si>
  <si>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</si>
  <si>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</si>
  <si>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</si>
  <si>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</si>
  <si>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</si>
  <si>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</si>
  <si>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</si>
  <si>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</si>
  <si>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</si>
  <si>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</si>
  <si>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</si>
  <si>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</si>
  <si>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</si>
  <si>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</si>
  <si>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</si>
  <si>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</si>
  <si>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</si>
  <si>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</si>
  <si>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</si>
  <si>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</si>
  <si>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</si>
  <si>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</si>
  <si>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</si>
  <si>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</si>
  <si>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</si>
  <si>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</si>
  <si>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</si>
  <si>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</si>
  <si>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</si>
  <si>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</si>
  <si>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</si>
  <si>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</si>
  <si>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</si>
  <si>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</si>
  <si>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</si>
  <si>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</si>
  <si>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</si>
  <si>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</si>
  <si>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</si>
  <si>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</si>
  <si>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</si>
  <si>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</si>
  <si>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</si>
  <si>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</si>
  <si>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</si>
  <si>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</si>
  <si>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</si>
  <si>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</si>
  <si>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</si>
  <si>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</si>
  <si>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</si>
  <si>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</si>
  <si>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</si>
  <si>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</si>
  <si>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</si>
  <si>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</si>
  <si>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</si>
  <si>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</si>
  <si>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</si>
  <si>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</si>
  <si>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</si>
  <si>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</si>
  <si>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</si>
  <si>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</si>
  <si>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</si>
  <si>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</si>
  <si>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</si>
  <si>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</si>
  <si>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</si>
  <si>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</si>
  <si>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</si>
  <si>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</si>
  <si>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</si>
  <si>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</si>
  <si>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</si>
  <si>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</si>
  <si>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</si>
  <si>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</si>
  <si>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</si>
  <si>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</si>
  <si>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</si>
  <si>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</si>
  <si>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</si>
  <si>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</si>
  <si>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</si>
  <si>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</si>
  <si>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</si>
  <si>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</si>
  <si>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</si>
  <si>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</si>
  <si>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</si>
  <si>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</si>
  <si>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</si>
  <si>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</si>
  <si>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</si>
  <si>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</si>
  <si>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</si>
  <si>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</si>
  <si>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</si>
  <si>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</si>
  <si>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</si>
  <si>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</si>
  <si>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</si>
  <si>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</si>
  <si>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</si>
  <si>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</si>
  <si>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</si>
  <si>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</si>
  <si>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</si>
  <si>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</si>
  <si>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</si>
  <si>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</si>
  <si>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</si>
  <si>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</si>
  <si>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</si>
  <si>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</si>
  <si>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</si>
  <si>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</si>
  <si>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</si>
  <si>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</si>
  <si>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</si>
  <si>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</si>
  <si>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</si>
  <si>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</si>
  <si>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</si>
  <si>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</si>
  <si>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</si>
  <si>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</si>
  <si>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</si>
  <si>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</si>
  <si>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</si>
  <si>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</si>
  <si>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</si>
  <si>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</si>
  <si>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</si>
  <si>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</si>
  <si>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</si>
  <si>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</si>
  <si>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</si>
  <si>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</si>
  <si>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</si>
  <si>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</si>
  <si>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</si>
  <si>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</si>
  <si>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</si>
  <si>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</si>
  <si>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</si>
  <si>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</si>
  <si>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</si>
  <si>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</si>
  <si>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</si>
  <si>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</si>
  <si>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</si>
  <si>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</si>
  <si>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</si>
  <si>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</si>
  <si>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</si>
  <si>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</si>
  <si>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</si>
  <si>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</si>
  <si>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</si>
  <si>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</si>
  <si>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</si>
  <si>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</si>
  <si>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</si>
  <si>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</si>
  <si>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</si>
  <si>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</si>
  <si>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</si>
  <si>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</si>
  <si>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</si>
  <si>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</si>
  <si>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</si>
  <si>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</si>
  <si>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</si>
  <si>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</si>
  <si>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</si>
  <si>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</si>
  <si>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</si>
  <si>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</si>
  <si>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</si>
  <si>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</si>
  <si>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</si>
  <si>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</si>
  <si>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</si>
  <si>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</si>
  <si>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</si>
  <si>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</si>
  <si>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</si>
  <si>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</si>
  <si>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</si>
  <si>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</si>
  <si>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</si>
  <si>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</si>
  <si>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</si>
  <si>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</si>
  <si>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</si>
  <si>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</si>
  <si>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</si>
  <si>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</si>
  <si>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</si>
  <si>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</si>
  <si>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</si>
  <si>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</si>
  <si>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</si>
  <si>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</si>
  <si>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</si>
  <si>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</si>
  <si>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</si>
  <si>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</si>
  <si>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</si>
  <si>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</si>
  <si>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</si>
  <si>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</si>
  <si>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</si>
  <si>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</si>
  <si>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</si>
  <si>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</si>
  <si>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</si>
  <si>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</si>
  <si>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</si>
  <si>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</si>
  <si>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</si>
  <si>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</si>
  <si>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</si>
  <si>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</si>
  <si>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</si>
  <si>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</si>
  <si>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</si>
  <si>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</si>
  <si>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</si>
  <si>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</si>
  <si>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</si>
  <si>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</si>
  <si>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</si>
  <si>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</si>
  <si>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</si>
  <si>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</si>
  <si>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</si>
  <si>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</si>
  <si>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</si>
  <si>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</si>
  <si>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</si>
  <si>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</si>
  <si>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</si>
  <si>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</si>
  <si>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</si>
  <si>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</si>
  <si>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</si>
  <si>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</si>
  <si>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</si>
  <si>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</si>
  <si>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</si>
  <si>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</si>
  <si>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</si>
  <si>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</si>
  <si>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</si>
  <si>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</si>
  <si>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</si>
  <si>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</si>
  <si>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</si>
  <si>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</si>
  <si>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</si>
  <si>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</si>
  <si>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</si>
  <si>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</si>
  <si>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</si>
  <si>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</si>
  <si>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</si>
  <si>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</si>
  <si>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</si>
  <si>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</si>
  <si>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</si>
  <si>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</si>
  <si>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</si>
  <si>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</si>
  <si>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</si>
  <si>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</si>
  <si>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</si>
  <si>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</si>
  <si>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</si>
  <si>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</si>
  <si>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</si>
  <si>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</si>
  <si>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</si>
  <si>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</si>
  <si>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</si>
  <si>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</si>
  <si>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</si>
  <si>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</si>
  <si>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</si>
  <si>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</si>
  <si>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</si>
  <si>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</si>
  <si>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</si>
  <si>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</si>
  <si>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</si>
  <si>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</si>
  <si>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</si>
  <si>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</si>
  <si>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</si>
  <si>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</si>
  <si>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</si>
  <si>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</si>
  <si>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</si>
  <si>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</si>
  <si>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</si>
  <si>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</si>
  <si>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</si>
  <si>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</si>
  <si>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</si>
  <si>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</si>
  <si>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</si>
  <si>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</si>
  <si>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</si>
  <si>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</si>
  <si>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</si>
  <si>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</si>
  <si>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</si>
  <si>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</si>
  <si>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</si>
  <si>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</si>
  <si>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</si>
  <si>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</si>
  <si>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</si>
  <si>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</si>
  <si>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</si>
  <si>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</si>
  <si>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</si>
  <si>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</si>
  <si>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</si>
  <si>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</si>
  <si>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</si>
  <si>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</si>
  <si>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</si>
  <si>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</si>
  <si>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</si>
  <si>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</si>
  <si>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</si>
  <si>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</si>
  <si>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</si>
  <si>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</si>
  <si>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</si>
  <si>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</si>
  <si>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</si>
  <si>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</si>
  <si>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</si>
  <si>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</si>
  <si>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</si>
  <si>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</si>
  <si>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</si>
  <si>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</si>
  <si>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</si>
  <si>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</si>
  <si>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</si>
  <si>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</si>
  <si>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</si>
  <si>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</si>
  <si>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</si>
  <si>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</si>
  <si>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</si>
  <si>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</si>
  <si>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</si>
  <si>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</si>
  <si>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</si>
  <si>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</si>
  <si>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</si>
  <si>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</si>
  <si>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</si>
  <si>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</si>
  <si>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</si>
  <si>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</si>
  <si>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</si>
  <si>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</si>
  <si>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</si>
  <si>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</si>
  <si>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</si>
  <si>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</si>
  <si>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</si>
  <si>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</si>
  <si>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</si>
  <si>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</si>
  <si>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</si>
  <si>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</si>
  <si>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</si>
  <si>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</si>
  <si>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</si>
  <si>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</si>
  <si>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</si>
  <si>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</si>
  <si>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</si>
  <si>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</si>
  <si>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</si>
  <si>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</si>
  <si>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</si>
  <si>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</si>
  <si>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</si>
  <si>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</si>
  <si>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</si>
  <si>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</si>
  <si>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</si>
  <si>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</si>
  <si>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</si>
  <si>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</si>
  <si>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</si>
  <si>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</si>
  <si>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</si>
  <si>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</si>
  <si>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</si>
  <si>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</si>
  <si>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</si>
  <si>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</si>
  <si>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</si>
  <si>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</si>
  <si>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</si>
  <si>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</si>
  <si>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</si>
  <si>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</si>
  <si>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</si>
  <si>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</si>
  <si>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</si>
  <si>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</si>
  <si>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</si>
  <si>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</si>
  <si>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</si>
  <si>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</si>
  <si>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</si>
  <si>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</si>
  <si>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</si>
  <si>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</si>
  <si>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</si>
  <si>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</si>
  <si>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</si>
  <si>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</si>
  <si>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</si>
  <si>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</si>
  <si>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</si>
  <si>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</si>
  <si>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</si>
  <si>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</si>
  <si>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</si>
  <si>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</si>
  <si>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</si>
  <si>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</si>
  <si>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</si>
  <si>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</si>
  <si>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</si>
  <si>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</si>
  <si>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</si>
  <si>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</si>
  <si>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</si>
  <si>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</si>
  <si>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</si>
  <si>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</si>
  <si>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</si>
  <si>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</si>
  <si>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</si>
  <si>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</si>
  <si>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DRUGA SREDNJA ŠKOLA BELI MANASTIR</t>
  </si>
  <si>
    <t>ŠKOLSKA 3</t>
  </si>
  <si>
    <t>FILIP GRBEŠ</t>
  </si>
  <si>
    <t>031/703-306</t>
  </si>
  <si>
    <t>031/705-206</t>
  </si>
  <si>
    <t>tajnistvo@ss-druga-bm-skole.hr</t>
  </si>
  <si>
    <t>tajnistvo@ss-druga-bm.skole.hr</t>
  </si>
  <si>
    <t>Blaženka Kalčić,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</si>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</sst>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7243175</v>
      </c>
      <c r="D2" s="63">
        <f>PRRAS!E12</f>
        <v>7505512</v>
      </c>
      <c r="E2" s="63"/>
      <c r="F2" s="63"/>
      <c r="G2" s="64">
        <f t="shared" ref="G2:G65" si="0">(B2/1000)*(C2*1+D2*2)</f>
        <v>22254.199000000001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22672</v>
      </c>
      <c r="L10" s="50">
        <f>INT(VALUE(RefStr!B6))</f>
        <v>22672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01379968</v>
      </c>
      <c r="L11" s="50">
        <f>INT(VALUE(RefStr!B8))</f>
        <v>1379968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DRUGA SREDNJA ŠKOLA BELI MANASTIR</v>
      </c>
      <c r="L12" s="50">
        <f>LEN(Skriveni!K12)</f>
        <v>33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31300</v>
      </c>
      <c r="L13" s="50">
        <f>INT(VALUE(RefStr!B12))</f>
        <v>31300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BELI MANASTIR</v>
      </c>
      <c r="L14" s="50">
        <f>LEN(Skriveni!K14)</f>
        <v>13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ŠKOLSKA 3</v>
      </c>
      <c r="L15" s="50">
        <f>LEN(Skriveni!K15)</f>
        <v>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8532</v>
      </c>
      <c r="L17" s="50">
        <f>INT(VALUE(RefStr!B18))</f>
        <v>8532</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013</v>
      </c>
      <c r="L19" s="50">
        <f>INT(VALUE(RefStr!B22))</f>
        <v>13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45569423495</v>
      </c>
      <c r="L21" s="50">
        <f>INT(VALUE(RefStr!K14))</f>
        <v>45569423495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FILIP GRBEŠ</v>
      </c>
      <c r="L22" s="50">
        <f>LEN(RefStr!H25)</f>
        <v>11</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031/703-306</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031/705-206</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tajnistvo@ss-druga-bm-skole.hr</v>
      </c>
      <c r="L25" s="50">
        <f>LEN(RefStr!H29)</f>
        <v>30</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tajnistvo@ss-druga-bm.skole.hr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Blaženka Kalčić, prof</v>
      </c>
      <c r="L27" s="50">
        <f>LEN(RefStr!H33)</f>
        <v>21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136.569.545,07</v>
      </c>
      <c r="L28" s="50">
        <f>SUM(G2:G1561)</f>
        <v>136569545.07199991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111889173.43799999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13899375.465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10598197.788000001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7042.4760000000006</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175755.90499999997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6296607</v>
      </c>
      <c r="D46" s="58">
        <f>PRRAS!E56</f>
        <v>6537528</v>
      </c>
      <c r="E46" s="58">
        <v>0</v>
      </c>
      <c r="F46" s="58">
        <v>0</v>
      </c>
      <c r="G46" s="59">
        <f t="shared" si="0"/>
        <v>871724.83499999996</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7314</v>
      </c>
      <c r="E58" s="58">
        <v>0</v>
      </c>
      <c r="F58" s="58">
        <v>0</v>
      </c>
      <c r="G58" s="59">
        <f t="shared" si="0"/>
        <v>1236.1020000000001</v>
      </c>
      <c r="H58" s="59">
        <f t="shared" si="1"/>
        <v>0</v>
      </c>
      <c r="I58" s="60">
        <v>0</v>
      </c>
    </row>
    <row r="59" spans="1:9" x14ac:dyDescent="0.2">
      <c r="A59" s="57">
        <v>151</v>
      </c>
      <c r="B59" s="58">
        <f>PRRAS!C69</f>
        <v>58</v>
      </c>
      <c r="C59" s="58">
        <f>PRRAS!D69</f>
        <v>7058</v>
      </c>
      <c r="D59" s="58">
        <f>PRRAS!E69</f>
        <v>7314</v>
      </c>
      <c r="E59" s="58">
        <v>0</v>
      </c>
      <c r="F59" s="58">
        <v>0</v>
      </c>
      <c r="G59" s="59">
        <f t="shared" si="0"/>
        <v>1257.788</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6289549</v>
      </c>
      <c r="D64" s="58">
        <f>PRRAS!E74</f>
        <v>6522328</v>
      </c>
      <c r="E64" s="58">
        <v>0</v>
      </c>
      <c r="F64" s="58">
        <v>0</v>
      </c>
      <c r="G64" s="59">
        <f t="shared" si="0"/>
        <v>1218054.915</v>
      </c>
      <c r="H64" s="59">
        <f t="shared" si="1"/>
        <v>0</v>
      </c>
      <c r="I64" s="60">
        <v>0</v>
      </c>
    </row>
    <row r="65" spans="1:9" x14ac:dyDescent="0.2">
      <c r="A65" s="57">
        <v>151</v>
      </c>
      <c r="B65" s="58">
        <f>PRRAS!C75</f>
        <v>64</v>
      </c>
      <c r="C65" s="58">
        <f>PRRAS!D75</f>
        <v>6264015</v>
      </c>
      <c r="D65" s="58">
        <f>PRRAS!E75</f>
        <v>6522328</v>
      </c>
      <c r="E65" s="58">
        <v>0</v>
      </c>
      <c r="F65" s="58">
        <v>0</v>
      </c>
      <c r="G65" s="59">
        <f t="shared" si="0"/>
        <v>1235754.9440000001</v>
      </c>
      <c r="H65" s="59">
        <f t="shared" si="1"/>
        <v>0</v>
      </c>
      <c r="I65" s="60">
        <v>0</v>
      </c>
    </row>
    <row r="66" spans="1:9" x14ac:dyDescent="0.2">
      <c r="A66" s="57">
        <v>151</v>
      </c>
      <c r="B66" s="58">
        <f>PRRAS!C76</f>
        <v>65</v>
      </c>
      <c r="C66" s="58">
        <f>PRRAS!D76</f>
        <v>25534</v>
      </c>
      <c r="D66" s="58">
        <f>PRRAS!E76</f>
        <v>0</v>
      </c>
      <c r="E66" s="58">
        <v>0</v>
      </c>
      <c r="F66" s="58">
        <v>0</v>
      </c>
      <c r="G66" s="59">
        <f t="shared" ref="G66:G129" si="2">(B66/1000)*(C66*1+D66*2)</f>
        <v>1659.71</v>
      </c>
      <c r="H66" s="59">
        <f t="shared" ref="H66:H129" si="3">ABS(C66-ROUND(C66,0))+ABS(D66-ROUND(D66,0))</f>
        <v>0</v>
      </c>
      <c r="I66" s="60">
        <v>0</v>
      </c>
    </row>
    <row r="67" spans="1:9" x14ac:dyDescent="0.2">
      <c r="A67" s="57">
        <v>151</v>
      </c>
      <c r="B67" s="58">
        <f>PRRAS!C77</f>
        <v>66</v>
      </c>
      <c r="C67" s="58">
        <f>PRRAS!D77</f>
        <v>0</v>
      </c>
      <c r="D67" s="58">
        <f>PRRAS!E77</f>
        <v>7886</v>
      </c>
      <c r="E67" s="58">
        <v>0</v>
      </c>
      <c r="F67" s="58">
        <v>0</v>
      </c>
      <c r="G67" s="59">
        <f t="shared" si="2"/>
        <v>1040.952</v>
      </c>
      <c r="H67" s="59">
        <f t="shared" si="3"/>
        <v>0</v>
      </c>
      <c r="I67" s="60">
        <v>0</v>
      </c>
    </row>
    <row r="68" spans="1:9" x14ac:dyDescent="0.2">
      <c r="A68" s="57">
        <v>151</v>
      </c>
      <c r="B68" s="58">
        <f>PRRAS!C78</f>
        <v>67</v>
      </c>
      <c r="C68" s="58">
        <f>PRRAS!D78</f>
        <v>0</v>
      </c>
      <c r="D68" s="58">
        <f>PRRAS!E78</f>
        <v>7886</v>
      </c>
      <c r="E68" s="58">
        <v>0</v>
      </c>
      <c r="F68" s="58">
        <v>0</v>
      </c>
      <c r="G68" s="59">
        <f t="shared" si="2"/>
        <v>1056.7240000000002</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22275</v>
      </c>
      <c r="D106" s="58">
        <f>PRRAS!E116</f>
        <v>18740</v>
      </c>
      <c r="E106" s="58">
        <v>0</v>
      </c>
      <c r="F106" s="58">
        <v>0</v>
      </c>
      <c r="G106" s="59">
        <f t="shared" si="2"/>
        <v>6274.2749999999996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22275</v>
      </c>
      <c r="D112" s="58">
        <f>PRRAS!E122</f>
        <v>18740</v>
      </c>
      <c r="E112" s="58">
        <v>0</v>
      </c>
      <c r="F112" s="58">
        <v>0</v>
      </c>
      <c r="G112" s="59">
        <f t="shared" si="2"/>
        <v>6632.8050000000003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22275</v>
      </c>
      <c r="D117" s="58">
        <f>PRRAS!E127</f>
        <v>18740</v>
      </c>
      <c r="E117" s="58">
        <v>0</v>
      </c>
      <c r="F117" s="58">
        <v>0</v>
      </c>
      <c r="G117" s="59">
        <f t="shared" si="2"/>
        <v>6931.58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29324</v>
      </c>
      <c r="D124" s="58">
        <f>PRRAS!E134</f>
        <v>28670</v>
      </c>
      <c r="E124" s="58">
        <v>0</v>
      </c>
      <c r="F124" s="58">
        <v>0</v>
      </c>
      <c r="G124" s="59">
        <f t="shared" si="2"/>
        <v>10659.672</v>
      </c>
      <c r="H124" s="59">
        <f t="shared" si="3"/>
        <v>0</v>
      </c>
      <c r="I124" s="60">
        <v>0</v>
      </c>
    </row>
    <row r="125" spans="1:9" x14ac:dyDescent="0.2">
      <c r="A125" s="57">
        <v>151</v>
      </c>
      <c r="B125" s="58">
        <f>PRRAS!C135</f>
        <v>124</v>
      </c>
      <c r="C125" s="58">
        <f>PRRAS!D135</f>
        <v>29068</v>
      </c>
      <c r="D125" s="58">
        <f>PRRAS!E135</f>
        <v>20550</v>
      </c>
      <c r="E125" s="58">
        <v>0</v>
      </c>
      <c r="F125" s="58">
        <v>0</v>
      </c>
      <c r="G125" s="59">
        <f t="shared" si="2"/>
        <v>8700.8320000000003</v>
      </c>
      <c r="H125" s="59">
        <f t="shared" si="3"/>
        <v>0</v>
      </c>
      <c r="I125" s="60">
        <v>0</v>
      </c>
    </row>
    <row r="126" spans="1:9" x14ac:dyDescent="0.2">
      <c r="A126" s="57">
        <v>151</v>
      </c>
      <c r="B126" s="58">
        <f>PRRAS!C136</f>
        <v>125</v>
      </c>
      <c r="C126" s="58">
        <f>PRRAS!D136</f>
        <v>1895</v>
      </c>
      <c r="D126" s="58">
        <f>PRRAS!E136</f>
        <v>0</v>
      </c>
      <c r="E126" s="58">
        <v>0</v>
      </c>
      <c r="F126" s="58">
        <v>0</v>
      </c>
      <c r="G126" s="59">
        <f t="shared" si="2"/>
        <v>236.875</v>
      </c>
      <c r="H126" s="59">
        <f t="shared" si="3"/>
        <v>0</v>
      </c>
      <c r="I126" s="60">
        <v>0</v>
      </c>
    </row>
    <row r="127" spans="1:9" x14ac:dyDescent="0.2">
      <c r="A127" s="57">
        <v>151</v>
      </c>
      <c r="B127" s="58">
        <f>PRRAS!C137</f>
        <v>126</v>
      </c>
      <c r="C127" s="58">
        <f>PRRAS!D137</f>
        <v>27173</v>
      </c>
      <c r="D127" s="58">
        <f>PRRAS!E137</f>
        <v>20550</v>
      </c>
      <c r="E127" s="58">
        <v>0</v>
      </c>
      <c r="F127" s="58">
        <v>0</v>
      </c>
      <c r="G127" s="59">
        <f t="shared" si="2"/>
        <v>8602.3979999999992</v>
      </c>
      <c r="H127" s="59">
        <f t="shared" si="3"/>
        <v>0</v>
      </c>
      <c r="I127" s="60">
        <v>0</v>
      </c>
    </row>
    <row r="128" spans="1:9" x14ac:dyDescent="0.2">
      <c r="A128" s="57">
        <v>151</v>
      </c>
      <c r="B128" s="58">
        <f>PRRAS!C138</f>
        <v>127</v>
      </c>
      <c r="C128" s="58">
        <f>PRRAS!D138</f>
        <v>256</v>
      </c>
      <c r="D128" s="58">
        <f>PRRAS!E138</f>
        <v>8120</v>
      </c>
      <c r="E128" s="58">
        <v>0</v>
      </c>
      <c r="F128" s="58">
        <v>0</v>
      </c>
      <c r="G128" s="59">
        <f t="shared" si="2"/>
        <v>2094.9920000000002</v>
      </c>
      <c r="H128" s="59">
        <f t="shared" si="3"/>
        <v>0</v>
      </c>
      <c r="I128" s="60">
        <v>0</v>
      </c>
    </row>
    <row r="129" spans="1:9" x14ac:dyDescent="0.2">
      <c r="A129" s="57">
        <v>151</v>
      </c>
      <c r="B129" s="58">
        <f>PRRAS!C139</f>
        <v>128</v>
      </c>
      <c r="C129" s="58">
        <f>PRRAS!D139</f>
        <v>256</v>
      </c>
      <c r="D129" s="58">
        <f>PRRAS!E139</f>
        <v>8120</v>
      </c>
      <c r="E129" s="58">
        <v>0</v>
      </c>
      <c r="F129" s="58">
        <v>0</v>
      </c>
      <c r="G129" s="59">
        <f t="shared" si="2"/>
        <v>2111.4879999999998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894969</v>
      </c>
      <c r="D131" s="58">
        <f>PRRAS!E141</f>
        <v>920574</v>
      </c>
      <c r="E131" s="58">
        <v>0</v>
      </c>
      <c r="F131" s="58">
        <v>0</v>
      </c>
      <c r="G131" s="59">
        <f t="shared" si="4"/>
        <v>355695.21</v>
      </c>
      <c r="H131" s="59">
        <f t="shared" si="5"/>
        <v>0</v>
      </c>
      <c r="I131" s="60">
        <v>0</v>
      </c>
    </row>
    <row r="132" spans="1:9" x14ac:dyDescent="0.2">
      <c r="A132" s="57">
        <v>151</v>
      </c>
      <c r="B132" s="58">
        <f>PRRAS!C142</f>
        <v>131</v>
      </c>
      <c r="C132" s="58">
        <f>PRRAS!D142</f>
        <v>894969</v>
      </c>
      <c r="D132" s="58">
        <f>PRRAS!E142</f>
        <v>920574</v>
      </c>
      <c r="E132" s="58">
        <v>0</v>
      </c>
      <c r="F132" s="58">
        <v>0</v>
      </c>
      <c r="G132" s="59">
        <f t="shared" si="4"/>
        <v>358431.32699999999</v>
      </c>
      <c r="H132" s="59">
        <f t="shared" si="5"/>
        <v>0</v>
      </c>
      <c r="I132" s="60">
        <v>0</v>
      </c>
    </row>
    <row r="133" spans="1:9" x14ac:dyDescent="0.2">
      <c r="A133" s="57">
        <v>151</v>
      </c>
      <c r="B133" s="58">
        <f>PRRAS!C143</f>
        <v>132</v>
      </c>
      <c r="C133" s="58">
        <f>PRRAS!D143</f>
        <v>807033</v>
      </c>
      <c r="D133" s="58">
        <f>PRRAS!E143</f>
        <v>904479</v>
      </c>
      <c r="E133" s="58">
        <v>0</v>
      </c>
      <c r="F133" s="58">
        <v>0</v>
      </c>
      <c r="G133" s="59">
        <f t="shared" si="4"/>
        <v>345310.81200000003</v>
      </c>
      <c r="H133" s="59">
        <f t="shared" si="5"/>
        <v>0</v>
      </c>
      <c r="I133" s="60">
        <v>0</v>
      </c>
    </row>
    <row r="134" spans="1:9" x14ac:dyDescent="0.2">
      <c r="A134" s="57">
        <v>151</v>
      </c>
      <c r="B134" s="58">
        <f>PRRAS!C144</f>
        <v>133</v>
      </c>
      <c r="C134" s="58">
        <f>PRRAS!D144</f>
        <v>87936</v>
      </c>
      <c r="D134" s="58">
        <f>PRRAS!E144</f>
        <v>16095</v>
      </c>
      <c r="E134" s="58">
        <v>0</v>
      </c>
      <c r="F134" s="58">
        <v>0</v>
      </c>
      <c r="G134" s="59">
        <f t="shared" si="4"/>
        <v>15976.758000000002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7116719</v>
      </c>
      <c r="D149" s="58">
        <f>PRRAS!E159</f>
        <v>7470037</v>
      </c>
      <c r="E149" s="58">
        <v>0</v>
      </c>
      <c r="F149" s="58">
        <v>0</v>
      </c>
      <c r="G149" s="59">
        <f t="shared" si="4"/>
        <v>3264405.3640000001</v>
      </c>
      <c r="H149" s="59">
        <f t="shared" si="5"/>
        <v>0</v>
      </c>
      <c r="I149" s="60">
        <v>0</v>
      </c>
    </row>
    <row r="150" spans="1:9" x14ac:dyDescent="0.2">
      <c r="A150" s="57">
        <v>151</v>
      </c>
      <c r="B150" s="58">
        <f>PRRAS!C160</f>
        <v>149</v>
      </c>
      <c r="C150" s="58">
        <f>PRRAS!D160</f>
        <v>6244259</v>
      </c>
      <c r="D150" s="58">
        <f>PRRAS!E160</f>
        <v>6528895</v>
      </c>
      <c r="E150" s="58">
        <v>0</v>
      </c>
      <c r="F150" s="58">
        <v>0</v>
      </c>
      <c r="G150" s="59">
        <f t="shared" si="4"/>
        <v>2876005.301</v>
      </c>
      <c r="H150" s="59">
        <f t="shared" si="5"/>
        <v>0</v>
      </c>
      <c r="I150" s="60">
        <v>0</v>
      </c>
    </row>
    <row r="151" spans="1:9" x14ac:dyDescent="0.2">
      <c r="A151" s="57">
        <v>151</v>
      </c>
      <c r="B151" s="58">
        <f>PRRAS!C161</f>
        <v>150</v>
      </c>
      <c r="C151" s="58">
        <f>PRRAS!D161</f>
        <v>5147391</v>
      </c>
      <c r="D151" s="58">
        <f>PRRAS!E161</f>
        <v>5388738</v>
      </c>
      <c r="E151" s="58">
        <v>0</v>
      </c>
      <c r="F151" s="58">
        <v>0</v>
      </c>
      <c r="G151" s="59">
        <f t="shared" si="4"/>
        <v>2388730.0499999998</v>
      </c>
      <c r="H151" s="59">
        <f t="shared" si="5"/>
        <v>0</v>
      </c>
      <c r="I151" s="60">
        <v>0</v>
      </c>
    </row>
    <row r="152" spans="1:9" x14ac:dyDescent="0.2">
      <c r="A152" s="57">
        <v>151</v>
      </c>
      <c r="B152" s="58">
        <f>PRRAS!C162</f>
        <v>151</v>
      </c>
      <c r="C152" s="58">
        <f>PRRAS!D162</f>
        <v>5092244</v>
      </c>
      <c r="D152" s="58">
        <f>PRRAS!E162</f>
        <v>5309575</v>
      </c>
      <c r="E152" s="58">
        <v>0</v>
      </c>
      <c r="F152" s="58">
        <v>0</v>
      </c>
      <c r="G152" s="59">
        <f t="shared" si="4"/>
        <v>2372420.4939999999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38657</v>
      </c>
      <c r="D154" s="58">
        <f>PRRAS!E164</f>
        <v>41599</v>
      </c>
      <c r="E154" s="58">
        <v>0</v>
      </c>
      <c r="F154" s="58">
        <v>0</v>
      </c>
      <c r="G154" s="59">
        <f t="shared" si="4"/>
        <v>18643.814999999999</v>
      </c>
      <c r="H154" s="59">
        <f t="shared" si="5"/>
        <v>0</v>
      </c>
      <c r="I154" s="60">
        <v>0</v>
      </c>
    </row>
    <row r="155" spans="1:9" x14ac:dyDescent="0.2">
      <c r="A155" s="57">
        <v>151</v>
      </c>
      <c r="B155" s="58">
        <f>PRRAS!C165</f>
        <v>154</v>
      </c>
      <c r="C155" s="58">
        <f>PRRAS!D165</f>
        <v>16490</v>
      </c>
      <c r="D155" s="58">
        <f>PRRAS!E165</f>
        <v>37564</v>
      </c>
      <c r="E155" s="58">
        <v>0</v>
      </c>
      <c r="F155" s="58">
        <v>0</v>
      </c>
      <c r="G155" s="59">
        <f t="shared" si="4"/>
        <v>14109.172</v>
      </c>
      <c r="H155" s="59">
        <f t="shared" si="5"/>
        <v>0</v>
      </c>
      <c r="I155" s="60">
        <v>0</v>
      </c>
    </row>
    <row r="156" spans="1:9" x14ac:dyDescent="0.2">
      <c r="A156" s="57">
        <v>151</v>
      </c>
      <c r="B156" s="58">
        <f>PRRAS!C166</f>
        <v>155</v>
      </c>
      <c r="C156" s="58">
        <f>PRRAS!D166</f>
        <v>205201</v>
      </c>
      <c r="D156" s="58">
        <f>PRRAS!E166</f>
        <v>209170</v>
      </c>
      <c r="E156" s="58">
        <v>0</v>
      </c>
      <c r="F156" s="58">
        <v>0</v>
      </c>
      <c r="G156" s="59">
        <f t="shared" si="4"/>
        <v>96648.854999999996</v>
      </c>
      <c r="H156" s="59">
        <f t="shared" si="5"/>
        <v>0</v>
      </c>
      <c r="I156" s="60">
        <v>0</v>
      </c>
    </row>
    <row r="157" spans="1:9" x14ac:dyDescent="0.2">
      <c r="A157" s="57">
        <v>151</v>
      </c>
      <c r="B157" s="58">
        <f>PRRAS!C167</f>
        <v>156</v>
      </c>
      <c r="C157" s="58">
        <f>PRRAS!D167</f>
        <v>891667</v>
      </c>
      <c r="D157" s="58">
        <f>PRRAS!E167</f>
        <v>930987</v>
      </c>
      <c r="E157" s="58">
        <v>0</v>
      </c>
      <c r="F157" s="58">
        <v>0</v>
      </c>
      <c r="G157" s="59">
        <f t="shared" si="4"/>
        <v>429567.99599999998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803642</v>
      </c>
      <c r="D159" s="58">
        <f>PRRAS!E169</f>
        <v>839039</v>
      </c>
      <c r="E159" s="58">
        <v>0</v>
      </c>
      <c r="F159" s="58">
        <v>0</v>
      </c>
      <c r="G159" s="59">
        <f t="shared" si="4"/>
        <v>392111.76</v>
      </c>
      <c r="H159" s="59">
        <f t="shared" si="5"/>
        <v>0</v>
      </c>
      <c r="I159" s="60">
        <v>0</v>
      </c>
    </row>
    <row r="160" spans="1:9" x14ac:dyDescent="0.2">
      <c r="A160" s="57">
        <v>151</v>
      </c>
      <c r="B160" s="58">
        <f>PRRAS!C170</f>
        <v>159</v>
      </c>
      <c r="C160" s="58">
        <f>PRRAS!D170</f>
        <v>88025</v>
      </c>
      <c r="D160" s="58">
        <f>PRRAS!E170</f>
        <v>91948</v>
      </c>
      <c r="E160" s="58">
        <v>0</v>
      </c>
      <c r="F160" s="58">
        <v>0</v>
      </c>
      <c r="G160" s="59">
        <f t="shared" si="4"/>
        <v>43235.438999999998</v>
      </c>
      <c r="H160" s="59">
        <f t="shared" si="5"/>
        <v>0</v>
      </c>
      <c r="I160" s="60">
        <v>0</v>
      </c>
    </row>
    <row r="161" spans="1:9" x14ac:dyDescent="0.2">
      <c r="A161" s="57">
        <v>151</v>
      </c>
      <c r="B161" s="58">
        <f>PRRAS!C171</f>
        <v>160</v>
      </c>
      <c r="C161" s="58">
        <f>PRRAS!D171</f>
        <v>870691</v>
      </c>
      <c r="D161" s="58">
        <f>PRRAS!E171</f>
        <v>938521</v>
      </c>
      <c r="E161" s="58">
        <v>0</v>
      </c>
      <c r="F161" s="58">
        <v>0</v>
      </c>
      <c r="G161" s="59">
        <f t="shared" si="4"/>
        <v>439637.28</v>
      </c>
      <c r="H161" s="59">
        <f t="shared" si="5"/>
        <v>0</v>
      </c>
      <c r="I161" s="60">
        <v>0</v>
      </c>
    </row>
    <row r="162" spans="1:9" x14ac:dyDescent="0.2">
      <c r="A162" s="57">
        <v>151</v>
      </c>
      <c r="B162" s="58">
        <f>PRRAS!C172</f>
        <v>161</v>
      </c>
      <c r="C162" s="58">
        <f>PRRAS!D172</f>
        <v>236851</v>
      </c>
      <c r="D162" s="58">
        <f>PRRAS!E172</f>
        <v>340725</v>
      </c>
      <c r="E162" s="58">
        <v>0</v>
      </c>
      <c r="F162" s="58">
        <v>0</v>
      </c>
      <c r="G162" s="59">
        <f t="shared" si="4"/>
        <v>147846.46100000001</v>
      </c>
      <c r="H162" s="59">
        <f t="shared" si="5"/>
        <v>0</v>
      </c>
      <c r="I162" s="60">
        <v>0</v>
      </c>
    </row>
    <row r="163" spans="1:9" x14ac:dyDescent="0.2">
      <c r="A163" s="57">
        <v>151</v>
      </c>
      <c r="B163" s="58">
        <f>PRRAS!C173</f>
        <v>162</v>
      </c>
      <c r="C163" s="58">
        <f>PRRAS!D173</f>
        <v>33717</v>
      </c>
      <c r="D163" s="58">
        <f>PRRAS!E173</f>
        <v>47619</v>
      </c>
      <c r="E163" s="58">
        <v>0</v>
      </c>
      <c r="F163" s="58">
        <v>0</v>
      </c>
      <c r="G163" s="59">
        <f t="shared" si="4"/>
        <v>20890.71</v>
      </c>
      <c r="H163" s="59">
        <f t="shared" si="5"/>
        <v>0</v>
      </c>
      <c r="I163" s="60">
        <v>0</v>
      </c>
    </row>
    <row r="164" spans="1:9" x14ac:dyDescent="0.2">
      <c r="A164" s="57">
        <v>151</v>
      </c>
      <c r="B164" s="58">
        <f>PRRAS!C174</f>
        <v>163</v>
      </c>
      <c r="C164" s="58">
        <f>PRRAS!D174</f>
        <v>190490</v>
      </c>
      <c r="D164" s="58">
        <f>PRRAS!E174</f>
        <v>279373</v>
      </c>
      <c r="E164" s="58">
        <v>0</v>
      </c>
      <c r="F164" s="58">
        <v>0</v>
      </c>
      <c r="G164" s="59">
        <f t="shared" si="4"/>
        <v>122125.46800000001</v>
      </c>
      <c r="H164" s="59">
        <f t="shared" si="5"/>
        <v>0</v>
      </c>
      <c r="I164" s="60">
        <v>0</v>
      </c>
    </row>
    <row r="165" spans="1:9" x14ac:dyDescent="0.2">
      <c r="A165" s="57">
        <v>151</v>
      </c>
      <c r="B165" s="58">
        <f>PRRAS!C175</f>
        <v>164</v>
      </c>
      <c r="C165" s="58">
        <f>PRRAS!D175</f>
        <v>3700</v>
      </c>
      <c r="D165" s="58">
        <f>PRRAS!E175</f>
        <v>4148</v>
      </c>
      <c r="E165" s="58">
        <v>0</v>
      </c>
      <c r="F165" s="58">
        <v>0</v>
      </c>
      <c r="G165" s="59">
        <f t="shared" si="4"/>
        <v>1967.3440000000001</v>
      </c>
      <c r="H165" s="59">
        <f t="shared" si="5"/>
        <v>0</v>
      </c>
      <c r="I165" s="60">
        <v>0</v>
      </c>
    </row>
    <row r="166" spans="1:9" x14ac:dyDescent="0.2">
      <c r="A166" s="57">
        <v>151</v>
      </c>
      <c r="B166" s="58">
        <f>PRRAS!C176</f>
        <v>165</v>
      </c>
      <c r="C166" s="58">
        <f>PRRAS!D176</f>
        <v>8944</v>
      </c>
      <c r="D166" s="58">
        <f>PRRAS!E176</f>
        <v>9585</v>
      </c>
      <c r="E166" s="58">
        <v>0</v>
      </c>
      <c r="F166" s="58">
        <v>0</v>
      </c>
      <c r="G166" s="59">
        <f t="shared" si="4"/>
        <v>4638.8100000000004</v>
      </c>
      <c r="H166" s="59">
        <f t="shared" si="5"/>
        <v>0</v>
      </c>
      <c r="I166" s="60">
        <v>0</v>
      </c>
    </row>
    <row r="167" spans="1:9" x14ac:dyDescent="0.2">
      <c r="A167" s="57">
        <v>151</v>
      </c>
      <c r="B167" s="58">
        <f>PRRAS!C177</f>
        <v>166</v>
      </c>
      <c r="C167" s="58">
        <f>PRRAS!D177</f>
        <v>448615</v>
      </c>
      <c r="D167" s="58">
        <f>PRRAS!E177</f>
        <v>438957</v>
      </c>
      <c r="E167" s="58">
        <v>0</v>
      </c>
      <c r="F167" s="58">
        <v>0</v>
      </c>
      <c r="G167" s="59">
        <f t="shared" si="4"/>
        <v>220203.81400000001</v>
      </c>
      <c r="H167" s="59">
        <f t="shared" si="5"/>
        <v>0</v>
      </c>
      <c r="I167" s="60">
        <v>0</v>
      </c>
    </row>
    <row r="168" spans="1:9" x14ac:dyDescent="0.2">
      <c r="A168" s="57">
        <v>151</v>
      </c>
      <c r="B168" s="58">
        <f>PRRAS!C178</f>
        <v>167</v>
      </c>
      <c r="C168" s="58">
        <f>PRRAS!D178</f>
        <v>49013</v>
      </c>
      <c r="D168" s="58">
        <f>PRRAS!E178</f>
        <v>46580</v>
      </c>
      <c r="E168" s="58">
        <v>0</v>
      </c>
      <c r="F168" s="58">
        <v>0</v>
      </c>
      <c r="G168" s="59">
        <f t="shared" si="4"/>
        <v>23742.891</v>
      </c>
      <c r="H168" s="59">
        <f t="shared" si="5"/>
        <v>0</v>
      </c>
      <c r="I168" s="60">
        <v>0</v>
      </c>
    </row>
    <row r="169" spans="1:9" x14ac:dyDescent="0.2">
      <c r="A169" s="57">
        <v>151</v>
      </c>
      <c r="B169" s="58">
        <f>PRRAS!C179</f>
        <v>168</v>
      </c>
      <c r="C169" s="58">
        <f>PRRAS!D179</f>
        <v>61611</v>
      </c>
      <c r="D169" s="58">
        <f>PRRAS!E179</f>
        <v>80251</v>
      </c>
      <c r="E169" s="58">
        <v>0</v>
      </c>
      <c r="F169" s="58">
        <v>0</v>
      </c>
      <c r="G169" s="59">
        <f t="shared" si="4"/>
        <v>37314.984000000004</v>
      </c>
      <c r="H169" s="59">
        <f t="shared" si="5"/>
        <v>0</v>
      </c>
      <c r="I169" s="60">
        <v>0</v>
      </c>
    </row>
    <row r="170" spans="1:9" x14ac:dyDescent="0.2">
      <c r="A170" s="57">
        <v>151</v>
      </c>
      <c r="B170" s="58">
        <f>PRRAS!C180</f>
        <v>169</v>
      </c>
      <c r="C170" s="58">
        <f>PRRAS!D180</f>
        <v>316289</v>
      </c>
      <c r="D170" s="58">
        <f>PRRAS!E180</f>
        <v>292673</v>
      </c>
      <c r="E170" s="58">
        <v>0</v>
      </c>
      <c r="F170" s="58">
        <v>0</v>
      </c>
      <c r="G170" s="59">
        <f t="shared" si="4"/>
        <v>152376.315</v>
      </c>
      <c r="H170" s="59">
        <f t="shared" si="5"/>
        <v>0</v>
      </c>
      <c r="I170" s="60">
        <v>0</v>
      </c>
    </row>
    <row r="171" spans="1:9" x14ac:dyDescent="0.2">
      <c r="A171" s="57">
        <v>151</v>
      </c>
      <c r="B171" s="58">
        <f>PRRAS!C181</f>
        <v>170</v>
      </c>
      <c r="C171" s="58">
        <f>PRRAS!D181</f>
        <v>8000</v>
      </c>
      <c r="D171" s="58">
        <f>PRRAS!E181</f>
        <v>9404</v>
      </c>
      <c r="E171" s="58">
        <v>0</v>
      </c>
      <c r="F171" s="58">
        <v>0</v>
      </c>
      <c r="G171" s="59">
        <f t="shared" si="4"/>
        <v>4557.3600000000006</v>
      </c>
      <c r="H171" s="59">
        <f t="shared" si="5"/>
        <v>0</v>
      </c>
      <c r="I171" s="60">
        <v>0</v>
      </c>
    </row>
    <row r="172" spans="1:9" x14ac:dyDescent="0.2">
      <c r="A172" s="57">
        <v>151</v>
      </c>
      <c r="B172" s="58">
        <f>PRRAS!C182</f>
        <v>171</v>
      </c>
      <c r="C172" s="58">
        <f>PRRAS!D182</f>
        <v>11998</v>
      </c>
      <c r="D172" s="58">
        <f>PRRAS!E182</f>
        <v>9489</v>
      </c>
      <c r="E172" s="58">
        <v>0</v>
      </c>
      <c r="F172" s="58">
        <v>0</v>
      </c>
      <c r="G172" s="59">
        <f t="shared" si="4"/>
        <v>5296.8960000000006</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1704</v>
      </c>
      <c r="D174" s="58">
        <f>PRRAS!E184</f>
        <v>560</v>
      </c>
      <c r="E174" s="58">
        <v>0</v>
      </c>
      <c r="F174" s="58">
        <v>0</v>
      </c>
      <c r="G174" s="59">
        <f t="shared" si="4"/>
        <v>488.55199999999996</v>
      </c>
      <c r="H174" s="59">
        <f t="shared" si="5"/>
        <v>0</v>
      </c>
      <c r="I174" s="60">
        <v>0</v>
      </c>
    </row>
    <row r="175" spans="1:9" x14ac:dyDescent="0.2">
      <c r="A175" s="57">
        <v>151</v>
      </c>
      <c r="B175" s="58">
        <f>PRRAS!C185</f>
        <v>174</v>
      </c>
      <c r="C175" s="58">
        <f>PRRAS!D185</f>
        <v>106766</v>
      </c>
      <c r="D175" s="58">
        <f>PRRAS!E185</f>
        <v>112796</v>
      </c>
      <c r="E175" s="58">
        <v>0</v>
      </c>
      <c r="F175" s="58">
        <v>0</v>
      </c>
      <c r="G175" s="59">
        <f t="shared" si="4"/>
        <v>57830.291999999994</v>
      </c>
      <c r="H175" s="59">
        <f t="shared" si="5"/>
        <v>0</v>
      </c>
      <c r="I175" s="60">
        <v>0</v>
      </c>
    </row>
    <row r="176" spans="1:9" x14ac:dyDescent="0.2">
      <c r="A176" s="57">
        <v>151</v>
      </c>
      <c r="B176" s="58">
        <f>PRRAS!C186</f>
        <v>175</v>
      </c>
      <c r="C176" s="58">
        <f>PRRAS!D186</f>
        <v>17000</v>
      </c>
      <c r="D176" s="58">
        <f>PRRAS!E186</f>
        <v>16128</v>
      </c>
      <c r="E176" s="58">
        <v>0</v>
      </c>
      <c r="F176" s="58">
        <v>0</v>
      </c>
      <c r="G176" s="59">
        <f t="shared" si="4"/>
        <v>8619.7999999999993</v>
      </c>
      <c r="H176" s="59">
        <f t="shared" si="5"/>
        <v>0</v>
      </c>
      <c r="I176" s="60">
        <v>0</v>
      </c>
    </row>
    <row r="177" spans="1:9" x14ac:dyDescent="0.2">
      <c r="A177" s="57">
        <v>151</v>
      </c>
      <c r="B177" s="58">
        <f>PRRAS!C187</f>
        <v>176</v>
      </c>
      <c r="C177" s="58">
        <f>PRRAS!D187</f>
        <v>43008</v>
      </c>
      <c r="D177" s="58">
        <f>PRRAS!E187</f>
        <v>60510</v>
      </c>
      <c r="E177" s="58">
        <v>0</v>
      </c>
      <c r="F177" s="58">
        <v>0</v>
      </c>
      <c r="G177" s="59">
        <f t="shared" si="4"/>
        <v>28868.928</v>
      </c>
      <c r="H177" s="59">
        <f t="shared" si="5"/>
        <v>0</v>
      </c>
      <c r="I177" s="60">
        <v>0</v>
      </c>
    </row>
    <row r="178" spans="1:9" x14ac:dyDescent="0.2">
      <c r="A178" s="57">
        <v>151</v>
      </c>
      <c r="B178" s="58">
        <f>PRRAS!C188</f>
        <v>177</v>
      </c>
      <c r="C178" s="58">
        <f>PRRAS!D188</f>
        <v>750</v>
      </c>
      <c r="D178" s="58">
        <f>PRRAS!E188</f>
        <v>750</v>
      </c>
      <c r="E178" s="58">
        <v>0</v>
      </c>
      <c r="F178" s="58">
        <v>0</v>
      </c>
      <c r="G178" s="59">
        <f t="shared" si="4"/>
        <v>398.25</v>
      </c>
      <c r="H178" s="59">
        <f t="shared" si="5"/>
        <v>0</v>
      </c>
      <c r="I178" s="60">
        <v>0</v>
      </c>
    </row>
    <row r="179" spans="1:9" x14ac:dyDescent="0.2">
      <c r="A179" s="57">
        <v>151</v>
      </c>
      <c r="B179" s="58">
        <f>PRRAS!C189</f>
        <v>178</v>
      </c>
      <c r="C179" s="58">
        <f>PRRAS!D189</f>
        <v>14000</v>
      </c>
      <c r="D179" s="58">
        <f>PRRAS!E189</f>
        <v>13511</v>
      </c>
      <c r="E179" s="58">
        <v>0</v>
      </c>
      <c r="F179" s="58">
        <v>0</v>
      </c>
      <c r="G179" s="59">
        <f t="shared" si="4"/>
        <v>7301.9159999999993</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14121</v>
      </c>
      <c r="D181" s="58">
        <f>PRRAS!E191</f>
        <v>10267</v>
      </c>
      <c r="E181" s="58">
        <v>0</v>
      </c>
      <c r="F181" s="58">
        <v>0</v>
      </c>
      <c r="G181" s="59">
        <f t="shared" si="4"/>
        <v>6237.9</v>
      </c>
      <c r="H181" s="59">
        <f t="shared" si="5"/>
        <v>0</v>
      </c>
      <c r="I181" s="60">
        <v>0</v>
      </c>
    </row>
    <row r="182" spans="1:9" x14ac:dyDescent="0.2">
      <c r="A182" s="57">
        <v>151</v>
      </c>
      <c r="B182" s="58">
        <f>PRRAS!C192</f>
        <v>181</v>
      </c>
      <c r="C182" s="58">
        <f>PRRAS!D192</f>
        <v>17387</v>
      </c>
      <c r="D182" s="58">
        <f>PRRAS!E192</f>
        <v>9855</v>
      </c>
      <c r="E182" s="58">
        <v>0</v>
      </c>
      <c r="F182" s="58">
        <v>0</v>
      </c>
      <c r="G182" s="59">
        <f t="shared" si="4"/>
        <v>6714.5569999999998</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500</v>
      </c>
      <c r="D184" s="58">
        <f>PRRAS!E194</f>
        <v>1775</v>
      </c>
      <c r="E184" s="58">
        <v>0</v>
      </c>
      <c r="F184" s="58">
        <v>0</v>
      </c>
      <c r="G184" s="59">
        <f t="shared" si="4"/>
        <v>741.15</v>
      </c>
      <c r="H184" s="59">
        <f t="shared" si="5"/>
        <v>0</v>
      </c>
      <c r="I184" s="60">
        <v>0</v>
      </c>
    </row>
    <row r="185" spans="1:9" x14ac:dyDescent="0.2">
      <c r="A185" s="57">
        <v>151</v>
      </c>
      <c r="B185" s="58">
        <f>PRRAS!C195</f>
        <v>184</v>
      </c>
      <c r="C185" s="58">
        <f>PRRAS!D195</f>
        <v>3650</v>
      </c>
      <c r="D185" s="58">
        <f>PRRAS!E195</f>
        <v>6035</v>
      </c>
      <c r="E185" s="58">
        <v>0</v>
      </c>
      <c r="F185" s="58">
        <v>0</v>
      </c>
      <c r="G185" s="59">
        <f t="shared" si="4"/>
        <v>2892.48</v>
      </c>
      <c r="H185" s="59">
        <f t="shared" si="5"/>
        <v>0</v>
      </c>
      <c r="I185" s="60">
        <v>0</v>
      </c>
    </row>
    <row r="186" spans="1:9" x14ac:dyDescent="0.2">
      <c r="A186" s="57">
        <v>151</v>
      </c>
      <c r="B186" s="58">
        <f>PRRAS!C196</f>
        <v>185</v>
      </c>
      <c r="C186" s="58">
        <f>PRRAS!D196</f>
        <v>74809</v>
      </c>
      <c r="D186" s="58">
        <f>PRRAS!E196</f>
        <v>40008</v>
      </c>
      <c r="E186" s="58">
        <v>0</v>
      </c>
      <c r="F186" s="58">
        <v>0</v>
      </c>
      <c r="G186" s="59">
        <f t="shared" si="4"/>
        <v>28642.625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6823</v>
      </c>
      <c r="D189" s="58">
        <f>PRRAS!E199</f>
        <v>2364</v>
      </c>
      <c r="E189" s="58">
        <v>0</v>
      </c>
      <c r="F189" s="58">
        <v>0</v>
      </c>
      <c r="G189" s="59">
        <f t="shared" si="4"/>
        <v>2171.5880000000002</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11747</v>
      </c>
      <c r="D191" s="58">
        <f>PRRAS!E201</f>
        <v>12334</v>
      </c>
      <c r="E191" s="58">
        <v>0</v>
      </c>
      <c r="F191" s="58">
        <v>0</v>
      </c>
      <c r="G191" s="59">
        <f t="shared" si="4"/>
        <v>6918.85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56239</v>
      </c>
      <c r="D193" s="58">
        <f>PRRAS!E203</f>
        <v>25310</v>
      </c>
      <c r="E193" s="58">
        <v>0</v>
      </c>
      <c r="F193" s="58">
        <v>0</v>
      </c>
      <c r="G193" s="59">
        <f t="shared" si="4"/>
        <v>20516.928</v>
      </c>
      <c r="H193" s="59">
        <f t="shared" si="5"/>
        <v>0</v>
      </c>
      <c r="I193" s="60">
        <v>0</v>
      </c>
    </row>
    <row r="194" spans="1:9" x14ac:dyDescent="0.2">
      <c r="A194" s="57">
        <v>151</v>
      </c>
      <c r="B194" s="58">
        <f>PRRAS!C204</f>
        <v>193</v>
      </c>
      <c r="C194" s="58">
        <f>PRRAS!D204</f>
        <v>1769</v>
      </c>
      <c r="D194" s="58">
        <f>PRRAS!E204</f>
        <v>2121</v>
      </c>
      <c r="E194" s="58">
        <v>0</v>
      </c>
      <c r="F194" s="58">
        <v>0</v>
      </c>
      <c r="G194" s="59">
        <f t="shared" ref="G194:G257" si="6">(B194/1000)*(C194*1+D194*2)</f>
        <v>1160.123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1769</v>
      </c>
      <c r="D208" s="58">
        <f>PRRAS!E218</f>
        <v>2121</v>
      </c>
      <c r="E208" s="58">
        <v>0</v>
      </c>
      <c r="F208" s="58">
        <v>0</v>
      </c>
      <c r="G208" s="59">
        <f t="shared" si="6"/>
        <v>1244.277</v>
      </c>
      <c r="H208" s="59">
        <f t="shared" si="7"/>
        <v>0</v>
      </c>
      <c r="I208" s="60">
        <v>0</v>
      </c>
    </row>
    <row r="209" spans="1:9" x14ac:dyDescent="0.2">
      <c r="A209" s="57">
        <v>151</v>
      </c>
      <c r="B209" s="58">
        <f>PRRAS!C219</f>
        <v>208</v>
      </c>
      <c r="C209" s="58">
        <f>PRRAS!D219</f>
        <v>1769</v>
      </c>
      <c r="D209" s="58">
        <f>PRRAS!E219</f>
        <v>2121</v>
      </c>
      <c r="E209" s="58">
        <v>0</v>
      </c>
      <c r="F209" s="58">
        <v>0</v>
      </c>
      <c r="G209" s="59">
        <f t="shared" si="6"/>
        <v>1250.288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500</v>
      </c>
      <c r="E258" s="58">
        <v>0</v>
      </c>
      <c r="F258" s="58">
        <v>0</v>
      </c>
      <c r="G258" s="59">
        <f t="shared" ref="G258:G321" si="8">(B258/1000)*(C258*1+D258*2)</f>
        <v>257</v>
      </c>
      <c r="H258" s="59">
        <f t="shared" ref="H258:H321" si="9">ABS(C258-ROUND(C258,0))+ABS(D258-ROUND(D258,0))</f>
        <v>0</v>
      </c>
      <c r="I258" s="60">
        <v>0</v>
      </c>
    </row>
    <row r="259" spans="1:9" x14ac:dyDescent="0.2">
      <c r="A259" s="57">
        <v>151</v>
      </c>
      <c r="B259" s="58">
        <f>PRRAS!C269</f>
        <v>258</v>
      </c>
      <c r="C259" s="58">
        <f>PRRAS!D269</f>
        <v>0</v>
      </c>
      <c r="D259" s="58">
        <f>PRRAS!E269</f>
        <v>500</v>
      </c>
      <c r="E259" s="58">
        <v>0</v>
      </c>
      <c r="F259" s="58">
        <v>0</v>
      </c>
      <c r="G259" s="59">
        <f t="shared" si="8"/>
        <v>258</v>
      </c>
      <c r="H259" s="59">
        <f t="shared" si="9"/>
        <v>0</v>
      </c>
      <c r="I259" s="60">
        <v>0</v>
      </c>
    </row>
    <row r="260" spans="1:9" x14ac:dyDescent="0.2">
      <c r="A260" s="57">
        <v>151</v>
      </c>
      <c r="B260" s="58">
        <f>PRRAS!C270</f>
        <v>259</v>
      </c>
      <c r="C260" s="58">
        <f>PRRAS!D270</f>
        <v>0</v>
      </c>
      <c r="D260" s="58">
        <f>PRRAS!E270</f>
        <v>500</v>
      </c>
      <c r="E260" s="58">
        <v>0</v>
      </c>
      <c r="F260" s="58">
        <v>0</v>
      </c>
      <c r="G260" s="59">
        <f t="shared" si="8"/>
        <v>259</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7116719</v>
      </c>
      <c r="D282" s="58">
        <f>PRRAS!E292</f>
        <v>7470037</v>
      </c>
      <c r="E282" s="58">
        <v>0</v>
      </c>
      <c r="F282" s="58">
        <v>0</v>
      </c>
      <c r="G282" s="59">
        <f t="shared" si="8"/>
        <v>6197958.8330000006</v>
      </c>
      <c r="H282" s="59">
        <f t="shared" si="9"/>
        <v>0</v>
      </c>
      <c r="I282" s="60">
        <v>0</v>
      </c>
    </row>
    <row r="283" spans="1:9" x14ac:dyDescent="0.2">
      <c r="A283" s="57">
        <v>151</v>
      </c>
      <c r="B283" s="58">
        <f>PRRAS!C293</f>
        <v>282</v>
      </c>
      <c r="C283" s="58">
        <f>PRRAS!D293</f>
        <v>126456</v>
      </c>
      <c r="D283" s="58">
        <f>PRRAS!E293</f>
        <v>35475</v>
      </c>
      <c r="E283" s="58">
        <v>0</v>
      </c>
      <c r="F283" s="58">
        <v>0</v>
      </c>
      <c r="G283" s="59">
        <f t="shared" si="8"/>
        <v>55668.491999999991</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572656</v>
      </c>
      <c r="D285" s="58">
        <f>PRRAS!E295</f>
        <v>699112</v>
      </c>
      <c r="E285" s="58">
        <v>0</v>
      </c>
      <c r="F285" s="58">
        <v>0</v>
      </c>
      <c r="G285" s="59">
        <f t="shared" si="8"/>
        <v>559729.91999999993</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129421</v>
      </c>
      <c r="D342" s="58">
        <f>PRRAS!E353</f>
        <v>16115</v>
      </c>
      <c r="E342" s="58">
        <v>0</v>
      </c>
      <c r="F342" s="58">
        <v>0</v>
      </c>
      <c r="G342" s="59">
        <f t="shared" si="10"/>
        <v>55122.991000000002</v>
      </c>
      <c r="H342" s="59">
        <f t="shared" si="11"/>
        <v>0</v>
      </c>
      <c r="I342" s="60">
        <v>0</v>
      </c>
    </row>
    <row r="343" spans="1:9" x14ac:dyDescent="0.2">
      <c r="A343" s="57">
        <v>151</v>
      </c>
      <c r="B343" s="58">
        <f>PRRAS!C354</f>
        <v>342</v>
      </c>
      <c r="C343" s="58">
        <f>PRRAS!D354</f>
        <v>50000</v>
      </c>
      <c r="D343" s="58">
        <f>PRRAS!E354</f>
        <v>0</v>
      </c>
      <c r="E343" s="58">
        <v>0</v>
      </c>
      <c r="F343" s="58">
        <v>0</v>
      </c>
      <c r="G343" s="59">
        <f t="shared" si="10"/>
        <v>17100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50000</v>
      </c>
      <c r="D348" s="58">
        <f>PRRAS!E359</f>
        <v>0</v>
      </c>
      <c r="E348" s="58">
        <v>0</v>
      </c>
      <c r="F348" s="58">
        <v>0</v>
      </c>
      <c r="G348" s="59">
        <f t="shared" si="10"/>
        <v>17350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50000</v>
      </c>
      <c r="D354" s="58">
        <f>PRRAS!E365</f>
        <v>0</v>
      </c>
      <c r="E354" s="58">
        <v>0</v>
      </c>
      <c r="F354" s="58">
        <v>0</v>
      </c>
      <c r="G354" s="59">
        <f t="shared" si="10"/>
        <v>17650</v>
      </c>
      <c r="H354" s="59">
        <f t="shared" si="11"/>
        <v>0</v>
      </c>
      <c r="I354" s="60">
        <v>0</v>
      </c>
    </row>
    <row r="355" spans="1:9" x14ac:dyDescent="0.2">
      <c r="A355" s="57">
        <v>151</v>
      </c>
      <c r="B355" s="58">
        <f>PRRAS!C366</f>
        <v>354</v>
      </c>
      <c r="C355" s="58">
        <f>PRRAS!D366</f>
        <v>79421</v>
      </c>
      <c r="D355" s="58">
        <f>PRRAS!E366</f>
        <v>16115</v>
      </c>
      <c r="E355" s="58">
        <v>0</v>
      </c>
      <c r="F355" s="58">
        <v>0</v>
      </c>
      <c r="G355" s="59">
        <f t="shared" si="10"/>
        <v>39524.453999999998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63470</v>
      </c>
      <c r="D361" s="58">
        <f>PRRAS!E372</f>
        <v>16095</v>
      </c>
      <c r="E361" s="58">
        <v>0</v>
      </c>
      <c r="F361" s="58">
        <v>0</v>
      </c>
      <c r="G361" s="59">
        <f t="shared" si="10"/>
        <v>34437.599999999999</v>
      </c>
      <c r="H361" s="59">
        <f t="shared" si="11"/>
        <v>0</v>
      </c>
      <c r="I361" s="60">
        <v>0</v>
      </c>
    </row>
    <row r="362" spans="1:9" x14ac:dyDescent="0.2">
      <c r="A362" s="57">
        <v>151</v>
      </c>
      <c r="B362" s="58">
        <f>PRRAS!C373</f>
        <v>361</v>
      </c>
      <c r="C362" s="58">
        <f>PRRAS!D373</f>
        <v>61270</v>
      </c>
      <c r="D362" s="58">
        <f>PRRAS!E373</f>
        <v>12348</v>
      </c>
      <c r="E362" s="58">
        <v>0</v>
      </c>
      <c r="F362" s="58">
        <v>0</v>
      </c>
      <c r="G362" s="59">
        <f t="shared" si="10"/>
        <v>31033.725999999999</v>
      </c>
      <c r="H362" s="59">
        <f t="shared" si="11"/>
        <v>0</v>
      </c>
      <c r="I362" s="60">
        <v>0</v>
      </c>
    </row>
    <row r="363" spans="1:9" x14ac:dyDescent="0.2">
      <c r="A363" s="57">
        <v>151</v>
      </c>
      <c r="B363" s="58">
        <f>PRRAS!C374</f>
        <v>362</v>
      </c>
      <c r="C363" s="58">
        <f>PRRAS!D374</f>
        <v>0</v>
      </c>
      <c r="D363" s="58">
        <f>PRRAS!E374</f>
        <v>3747</v>
      </c>
      <c r="E363" s="58">
        <v>0</v>
      </c>
      <c r="F363" s="58">
        <v>0</v>
      </c>
      <c r="G363" s="59">
        <f t="shared" si="10"/>
        <v>2712.828</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2200</v>
      </c>
      <c r="D368" s="58">
        <f>PRRAS!E379</f>
        <v>0</v>
      </c>
      <c r="E368" s="58">
        <v>0</v>
      </c>
      <c r="F368" s="58">
        <v>0</v>
      </c>
      <c r="G368" s="59">
        <f t="shared" si="10"/>
        <v>807.4</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15951</v>
      </c>
      <c r="D375" s="58">
        <f>PRRAS!E386</f>
        <v>20</v>
      </c>
      <c r="E375" s="58">
        <v>0</v>
      </c>
      <c r="F375" s="58">
        <v>0</v>
      </c>
      <c r="G375" s="59">
        <f t="shared" si="10"/>
        <v>5980.634</v>
      </c>
      <c r="H375" s="59">
        <f t="shared" si="11"/>
        <v>0</v>
      </c>
      <c r="I375" s="60">
        <v>0</v>
      </c>
    </row>
    <row r="376" spans="1:9" x14ac:dyDescent="0.2">
      <c r="A376" s="57">
        <v>151</v>
      </c>
      <c r="B376" s="58">
        <f>PRRAS!C387</f>
        <v>375</v>
      </c>
      <c r="C376" s="58">
        <f>PRRAS!D387</f>
        <v>15951</v>
      </c>
      <c r="D376" s="58">
        <f>PRRAS!E387</f>
        <v>20</v>
      </c>
      <c r="E376" s="58">
        <v>0</v>
      </c>
      <c r="F376" s="58">
        <v>0</v>
      </c>
      <c r="G376" s="59">
        <f t="shared" si="10"/>
        <v>5996.625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129421</v>
      </c>
      <c r="D400" s="58">
        <f>PRRAS!E411</f>
        <v>16115</v>
      </c>
      <c r="E400" s="58">
        <v>0</v>
      </c>
      <c r="F400" s="58">
        <v>0</v>
      </c>
      <c r="G400" s="59">
        <f t="shared" si="12"/>
        <v>64498.749000000003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625235</v>
      </c>
      <c r="D402" s="58">
        <f>PRRAS!E413</f>
        <v>754656</v>
      </c>
      <c r="E402" s="58">
        <v>0</v>
      </c>
      <c r="F402" s="58">
        <v>0</v>
      </c>
      <c r="G402" s="59">
        <f t="shared" si="12"/>
        <v>855953.34700000007</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7243175</v>
      </c>
      <c r="D404" s="58">
        <f>PRRAS!E415</f>
        <v>7505512</v>
      </c>
      <c r="E404" s="58">
        <v>0</v>
      </c>
      <c r="F404" s="58">
        <v>0</v>
      </c>
      <c r="G404" s="59">
        <f t="shared" si="12"/>
        <v>8968442.1970000006</v>
      </c>
      <c r="H404" s="59">
        <f t="shared" si="13"/>
        <v>0</v>
      </c>
      <c r="I404" s="60">
        <v>0</v>
      </c>
    </row>
    <row r="405" spans="1:9" x14ac:dyDescent="0.2">
      <c r="A405" s="57">
        <v>151</v>
      </c>
      <c r="B405" s="58">
        <f>PRRAS!C416</f>
        <v>404</v>
      </c>
      <c r="C405" s="58">
        <f>PRRAS!D416</f>
        <v>7246140</v>
      </c>
      <c r="D405" s="58">
        <f>PRRAS!E416</f>
        <v>7486152</v>
      </c>
      <c r="E405" s="58">
        <v>0</v>
      </c>
      <c r="F405" s="58">
        <v>0</v>
      </c>
      <c r="G405" s="59">
        <f t="shared" si="12"/>
        <v>8976251.3760000002</v>
      </c>
      <c r="H405" s="59">
        <f t="shared" si="13"/>
        <v>0</v>
      </c>
      <c r="I405" s="60">
        <v>0</v>
      </c>
    </row>
    <row r="406" spans="1:9" x14ac:dyDescent="0.2">
      <c r="A406" s="57">
        <v>151</v>
      </c>
      <c r="B406" s="58">
        <f>PRRAS!C417</f>
        <v>405</v>
      </c>
      <c r="C406" s="58">
        <f>PRRAS!D417</f>
        <v>0</v>
      </c>
      <c r="D406" s="58">
        <f>PRRAS!E417</f>
        <v>19360</v>
      </c>
      <c r="E406" s="58">
        <v>0</v>
      </c>
      <c r="F406" s="58">
        <v>0</v>
      </c>
      <c r="G406" s="59">
        <f t="shared" si="12"/>
        <v>15681.6</v>
      </c>
      <c r="H406" s="59">
        <f t="shared" si="13"/>
        <v>0</v>
      </c>
      <c r="I406" s="60">
        <v>0</v>
      </c>
    </row>
    <row r="407" spans="1:9" x14ac:dyDescent="0.2">
      <c r="A407" s="57">
        <v>151</v>
      </c>
      <c r="B407" s="58">
        <f>PRRAS!C418</f>
        <v>406</v>
      </c>
      <c r="C407" s="58">
        <f>PRRAS!D418</f>
        <v>2965</v>
      </c>
      <c r="D407" s="58">
        <f>PRRAS!E418</f>
        <v>0</v>
      </c>
      <c r="E407" s="58">
        <v>0</v>
      </c>
      <c r="F407" s="58">
        <v>0</v>
      </c>
      <c r="G407" s="59">
        <f t="shared" si="12"/>
        <v>1203.7900000000002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52579</v>
      </c>
      <c r="D409" s="58">
        <f>PRRAS!E420</f>
        <v>55544</v>
      </c>
      <c r="E409" s="58">
        <v>0</v>
      </c>
      <c r="F409" s="58">
        <v>0</v>
      </c>
      <c r="G409" s="59">
        <f t="shared" si="12"/>
        <v>66776.135999999999</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7243175</v>
      </c>
      <c r="D630" s="58">
        <f>PRRAS!E642</f>
        <v>7505512</v>
      </c>
      <c r="E630" s="58">
        <v>0</v>
      </c>
      <c r="F630" s="58">
        <v>0</v>
      </c>
      <c r="G630" s="59">
        <f t="shared" si="18"/>
        <v>13997891.171</v>
      </c>
      <c r="H630" s="59">
        <f t="shared" si="19"/>
        <v>0</v>
      </c>
      <c r="I630" s="60">
        <v>0</v>
      </c>
    </row>
    <row r="631" spans="1:9" x14ac:dyDescent="0.2">
      <c r="A631" s="57">
        <v>151</v>
      </c>
      <c r="B631" s="58">
        <f>PRRAS!C643</f>
        <v>630</v>
      </c>
      <c r="C631" s="58">
        <f>PRRAS!D643</f>
        <v>7246140</v>
      </c>
      <c r="D631" s="58">
        <f>PRRAS!E643</f>
        <v>7486152</v>
      </c>
      <c r="E631" s="58">
        <v>0</v>
      </c>
      <c r="F631" s="58">
        <v>0</v>
      </c>
      <c r="G631" s="59">
        <f t="shared" si="18"/>
        <v>13997619.720000001</v>
      </c>
      <c r="H631" s="59">
        <f t="shared" si="19"/>
        <v>0</v>
      </c>
      <c r="I631" s="60">
        <v>0</v>
      </c>
    </row>
    <row r="632" spans="1:9" x14ac:dyDescent="0.2">
      <c r="A632" s="57">
        <v>151</v>
      </c>
      <c r="B632" s="58">
        <f>PRRAS!C644</f>
        <v>631</v>
      </c>
      <c r="C632" s="58">
        <f>PRRAS!D644</f>
        <v>0</v>
      </c>
      <c r="D632" s="58">
        <f>PRRAS!E644</f>
        <v>19360</v>
      </c>
      <c r="E632" s="58">
        <v>0</v>
      </c>
      <c r="F632" s="58">
        <v>0</v>
      </c>
      <c r="G632" s="59">
        <f t="shared" si="18"/>
        <v>24432.32</v>
      </c>
      <c r="H632" s="59">
        <f t="shared" si="19"/>
        <v>0</v>
      </c>
      <c r="I632" s="60">
        <v>0</v>
      </c>
    </row>
    <row r="633" spans="1:9" x14ac:dyDescent="0.2">
      <c r="A633" s="57">
        <v>151</v>
      </c>
      <c r="B633" s="58">
        <f>PRRAS!C645</f>
        <v>632</v>
      </c>
      <c r="C633" s="58">
        <f>PRRAS!D645</f>
        <v>2965</v>
      </c>
      <c r="D633" s="58">
        <f>PRRAS!E645</f>
        <v>0</v>
      </c>
      <c r="E633" s="58">
        <v>0</v>
      </c>
      <c r="F633" s="58">
        <v>0</v>
      </c>
      <c r="G633" s="59">
        <f t="shared" si="18"/>
        <v>1873.88</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52579</v>
      </c>
      <c r="D635" s="58">
        <f>PRRAS!E647</f>
        <v>55544</v>
      </c>
      <c r="E635" s="58">
        <v>0</v>
      </c>
      <c r="F635" s="58">
        <v>0</v>
      </c>
      <c r="G635" s="59">
        <f t="shared" si="18"/>
        <v>103764.878</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55544</v>
      </c>
      <c r="D637" s="58">
        <f>PRRAS!E649</f>
        <v>36184</v>
      </c>
      <c r="E637" s="58">
        <v>0</v>
      </c>
      <c r="F637" s="58">
        <v>0</v>
      </c>
      <c r="G637" s="59">
        <f t="shared" si="18"/>
        <v>81352.032000000007</v>
      </c>
      <c r="H637" s="59">
        <f t="shared" si="19"/>
        <v>0</v>
      </c>
      <c r="I637" s="60">
        <v>0</v>
      </c>
    </row>
    <row r="638" spans="1:9" x14ac:dyDescent="0.2">
      <c r="A638" s="57">
        <v>151</v>
      </c>
      <c r="B638" s="58">
        <f>PRRAS!C650</f>
        <v>637</v>
      </c>
      <c r="C638" s="58">
        <f>PRRAS!D650</f>
        <v>520674</v>
      </c>
      <c r="D638" s="58">
        <f>PRRAS!E650</f>
        <v>534138</v>
      </c>
      <c r="E638" s="58">
        <v>0</v>
      </c>
      <c r="F638" s="58">
        <v>0</v>
      </c>
      <c r="G638" s="59">
        <f t="shared" si="18"/>
        <v>1012161.15</v>
      </c>
      <c r="H638" s="59">
        <f t="shared" si="19"/>
        <v>0</v>
      </c>
      <c r="I638" s="60">
        <v>0</v>
      </c>
    </row>
    <row r="639" spans="1:9" x14ac:dyDescent="0.2">
      <c r="A639" s="57">
        <v>151</v>
      </c>
      <c r="B639" s="58">
        <f>PRRAS!C652</f>
        <v>638</v>
      </c>
      <c r="C639" s="58">
        <f>PRRAS!D652</f>
        <v>14369</v>
      </c>
      <c r="D639" s="58">
        <f>PRRAS!E652</f>
        <v>17641</v>
      </c>
      <c r="E639" s="58">
        <v>0</v>
      </c>
      <c r="F639" s="58">
        <v>0</v>
      </c>
      <c r="G639" s="59">
        <f t="shared" si="18"/>
        <v>31677.338</v>
      </c>
      <c r="H639" s="59">
        <f t="shared" si="19"/>
        <v>0</v>
      </c>
      <c r="I639" s="60">
        <v>0</v>
      </c>
    </row>
    <row r="640" spans="1:9" x14ac:dyDescent="0.2">
      <c r="A640" s="57">
        <v>151</v>
      </c>
      <c r="B640" s="58">
        <f>PRRAS!C653</f>
        <v>639</v>
      </c>
      <c r="C640" s="58">
        <f>PRRAS!D653</f>
        <v>6501747</v>
      </c>
      <c r="D640" s="58">
        <f>PRRAS!E653</f>
        <v>6666682</v>
      </c>
      <c r="E640" s="58">
        <v>0</v>
      </c>
      <c r="F640" s="58">
        <v>0</v>
      </c>
      <c r="G640" s="59">
        <f t="shared" si="18"/>
        <v>12674635.929</v>
      </c>
      <c r="H640" s="59">
        <f t="shared" si="19"/>
        <v>0</v>
      </c>
      <c r="I640" s="60">
        <v>0</v>
      </c>
    </row>
    <row r="641" spans="1:9" x14ac:dyDescent="0.2">
      <c r="A641" s="57">
        <v>151</v>
      </c>
      <c r="B641" s="58">
        <f>PRRAS!C654</f>
        <v>640</v>
      </c>
      <c r="C641" s="58">
        <f>PRRAS!D654</f>
        <v>6498475</v>
      </c>
      <c r="D641" s="58">
        <f>PRRAS!E654</f>
        <v>6651618</v>
      </c>
      <c r="E641" s="58">
        <v>0</v>
      </c>
      <c r="F641" s="58">
        <v>0</v>
      </c>
      <c r="G641" s="59">
        <f t="shared" si="18"/>
        <v>12673095.040000001</v>
      </c>
      <c r="H641" s="59">
        <f t="shared" si="19"/>
        <v>0</v>
      </c>
      <c r="I641" s="60">
        <v>0</v>
      </c>
    </row>
    <row r="642" spans="1:9" x14ac:dyDescent="0.2">
      <c r="A642" s="57">
        <v>151</v>
      </c>
      <c r="B642" s="58">
        <f>PRRAS!C655</f>
        <v>641</v>
      </c>
      <c r="C642" s="58">
        <f>PRRAS!D655</f>
        <v>17641</v>
      </c>
      <c r="D642" s="58">
        <f>PRRAS!E655</f>
        <v>32705</v>
      </c>
      <c r="E642" s="58">
        <v>0</v>
      </c>
      <c r="F642" s="58">
        <v>0</v>
      </c>
      <c r="G642" s="59">
        <f t="shared" ref="G642:G705" si="20">(B642/1000)*(C642*1+D642*2)</f>
        <v>53235.690999999999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57</v>
      </c>
      <c r="D644" s="58">
        <f>PRRAS!E657</f>
        <v>58</v>
      </c>
      <c r="E644" s="58">
        <v>0</v>
      </c>
      <c r="F644" s="58">
        <v>0</v>
      </c>
      <c r="G644" s="59">
        <f t="shared" si="20"/>
        <v>111.239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49</v>
      </c>
      <c r="D646" s="58">
        <f>PRRAS!E659</f>
        <v>49</v>
      </c>
      <c r="E646" s="58">
        <v>0</v>
      </c>
      <c r="F646" s="58">
        <v>0</v>
      </c>
      <c r="G646" s="59">
        <f t="shared" si="20"/>
        <v>94.814999999999998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7314</v>
      </c>
      <c r="E659" s="58">
        <v>0</v>
      </c>
      <c r="F659" s="58">
        <v>0</v>
      </c>
      <c r="G659" s="59">
        <f t="shared" si="20"/>
        <v>14269.388000000001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6264015</v>
      </c>
      <c r="D665" s="58">
        <f>PRRAS!E678</f>
        <v>6522328</v>
      </c>
      <c r="E665" s="58">
        <v>0</v>
      </c>
      <c r="F665" s="58">
        <v>0</v>
      </c>
      <c r="G665" s="59">
        <f t="shared" si="20"/>
        <v>12820957.544</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25534</v>
      </c>
      <c r="D667" s="58">
        <f>PRRAS!E680</f>
        <v>0</v>
      </c>
      <c r="E667" s="58">
        <v>0</v>
      </c>
      <c r="F667" s="58">
        <v>0</v>
      </c>
      <c r="G667" s="59">
        <f t="shared" si="20"/>
        <v>17005.644</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7886</v>
      </c>
      <c r="E669" s="58">
        <v>0</v>
      </c>
      <c r="F669" s="58">
        <v>0</v>
      </c>
      <c r="G669" s="59">
        <f t="shared" si="20"/>
        <v>10535.696</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22275</v>
      </c>
      <c r="D685" s="58">
        <f>PRRAS!E698</f>
        <v>8195</v>
      </c>
      <c r="E685" s="58">
        <v>0</v>
      </c>
      <c r="F685" s="58">
        <v>0</v>
      </c>
      <c r="G685" s="59">
        <f t="shared" si="20"/>
        <v>26446.86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21778</v>
      </c>
      <c r="E688" s="58">
        <v>0</v>
      </c>
      <c r="F688" s="58">
        <v>0</v>
      </c>
      <c r="G688" s="59">
        <f t="shared" si="20"/>
        <v>29922.972000000002</v>
      </c>
      <c r="H688" s="59">
        <f t="shared" si="21"/>
        <v>0</v>
      </c>
      <c r="I688" s="60">
        <v>0</v>
      </c>
    </row>
    <row r="689" spans="1:9" x14ac:dyDescent="0.2">
      <c r="A689" s="57">
        <v>151</v>
      </c>
      <c r="B689" s="58">
        <f>PRRAS!C702</f>
        <v>688</v>
      </c>
      <c r="C689" s="58">
        <f>PRRAS!D702</f>
        <v>3917</v>
      </c>
      <c r="D689" s="58">
        <f>PRRAS!E702</f>
        <v>14081</v>
      </c>
      <c r="E689" s="58">
        <v>0</v>
      </c>
      <c r="F689" s="58">
        <v>0</v>
      </c>
      <c r="G689" s="59">
        <f t="shared" si="20"/>
        <v>22070.351999999999</v>
      </c>
      <c r="H689" s="59">
        <f t="shared" si="21"/>
        <v>0</v>
      </c>
      <c r="I689" s="60">
        <v>0</v>
      </c>
    </row>
    <row r="690" spans="1:9" x14ac:dyDescent="0.2">
      <c r="A690" s="57">
        <v>151</v>
      </c>
      <c r="B690" s="58">
        <f>PRRAS!C703</f>
        <v>689</v>
      </c>
      <c r="C690" s="58">
        <f>PRRAS!D703</f>
        <v>190490</v>
      </c>
      <c r="D690" s="58">
        <f>PRRAS!E703</f>
        <v>279373</v>
      </c>
      <c r="E690" s="58">
        <v>0</v>
      </c>
      <c r="F690" s="58">
        <v>0</v>
      </c>
      <c r="G690" s="59">
        <f t="shared" si="20"/>
        <v>516223.60399999993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14121</v>
      </c>
      <c r="D692" s="58">
        <f>PRRAS!E705</f>
        <v>10267</v>
      </c>
      <c r="E692" s="58">
        <v>0</v>
      </c>
      <c r="F692" s="58">
        <v>0</v>
      </c>
      <c r="G692" s="59">
        <f t="shared" si="20"/>
        <v>23946.605</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16762</v>
      </c>
      <c r="D694" s="58">
        <f>PRRAS!E707</f>
        <v>9105</v>
      </c>
      <c r="E694" s="58">
        <v>0</v>
      </c>
      <c r="F694" s="58">
        <v>0</v>
      </c>
      <c r="G694" s="59">
        <f t="shared" si="20"/>
        <v>24235.595999999998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500</v>
      </c>
      <c r="E786" s="58">
        <v>0</v>
      </c>
      <c r="F786" s="58">
        <v>0</v>
      </c>
      <c r="G786" s="59">
        <f t="shared" si="24"/>
        <v>785</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3230565</v>
      </c>
      <c r="D977" s="63">
        <f>Bil!E12</f>
        <v>3127096</v>
      </c>
      <c r="E977" s="63">
        <v>0</v>
      </c>
      <c r="F977" s="63">
        <v>0</v>
      </c>
      <c r="G977" s="64">
        <f t="shared" ref="G977:G1040" si="32">B977/1000*C977+B977/500*D977</f>
        <v>9484.7569999999996</v>
      </c>
      <c r="H977" s="64">
        <f t="shared" si="31"/>
        <v>0</v>
      </c>
      <c r="I977" s="65"/>
    </row>
    <row r="978" spans="1:9" x14ac:dyDescent="0.2">
      <c r="A978" s="57">
        <v>152</v>
      </c>
      <c r="B978" s="58">
        <f>Bil!C13</f>
        <v>2</v>
      </c>
      <c r="C978" s="58">
        <f>Bil!D13</f>
        <v>2685548</v>
      </c>
      <c r="D978" s="58">
        <f>Bil!E13</f>
        <v>2559095</v>
      </c>
      <c r="E978" s="58">
        <v>0</v>
      </c>
      <c r="F978" s="58">
        <v>0</v>
      </c>
      <c r="G978" s="59">
        <f t="shared" si="32"/>
        <v>15607.476000000002</v>
      </c>
      <c r="H978" s="59">
        <f t="shared" si="31"/>
        <v>0</v>
      </c>
      <c r="I978" s="60"/>
    </row>
    <row r="979" spans="1:9" x14ac:dyDescent="0.2">
      <c r="A979" s="57">
        <v>152</v>
      </c>
      <c r="B979" s="58">
        <f>Bil!C14</f>
        <v>3</v>
      </c>
      <c r="C979" s="58">
        <f>Bil!D14</f>
        <v>160106</v>
      </c>
      <c r="D979" s="58">
        <f>Bil!E14</f>
        <v>145804</v>
      </c>
      <c r="E979" s="58">
        <v>0</v>
      </c>
      <c r="F979" s="58">
        <v>0</v>
      </c>
      <c r="G979" s="59">
        <f t="shared" si="32"/>
        <v>1355.1420000000001</v>
      </c>
      <c r="H979" s="59">
        <f t="shared" si="31"/>
        <v>0</v>
      </c>
      <c r="I979" s="60"/>
    </row>
    <row r="980" spans="1:9" x14ac:dyDescent="0.2">
      <c r="A980" s="57">
        <v>152</v>
      </c>
      <c r="B980" s="58">
        <f>Bil!C15</f>
        <v>4</v>
      </c>
      <c r="C980" s="58">
        <f>Bil!D15</f>
        <v>115877</v>
      </c>
      <c r="D980" s="58">
        <f>Bil!E15</f>
        <v>115877</v>
      </c>
      <c r="E980" s="58">
        <v>0</v>
      </c>
      <c r="F980" s="58">
        <v>0</v>
      </c>
      <c r="G980" s="59">
        <f t="shared" si="32"/>
        <v>1390.5239999999999</v>
      </c>
      <c r="H980" s="59">
        <f t="shared" si="31"/>
        <v>0</v>
      </c>
      <c r="I980" s="60"/>
    </row>
    <row r="981" spans="1:9" x14ac:dyDescent="0.2">
      <c r="A981" s="57">
        <v>152</v>
      </c>
      <c r="B981" s="58">
        <f>Bil!C16</f>
        <v>5</v>
      </c>
      <c r="C981" s="58">
        <f>Bil!D16</f>
        <v>75508</v>
      </c>
      <c r="D981" s="58">
        <f>Bil!E16</f>
        <v>75508</v>
      </c>
      <c r="E981" s="58">
        <v>0</v>
      </c>
      <c r="F981" s="58">
        <v>0</v>
      </c>
      <c r="G981" s="59">
        <f t="shared" si="32"/>
        <v>1132.6200000000001</v>
      </c>
      <c r="H981" s="59">
        <f t="shared" si="31"/>
        <v>0</v>
      </c>
      <c r="I981" s="60"/>
    </row>
    <row r="982" spans="1:9" x14ac:dyDescent="0.2">
      <c r="A982" s="57">
        <v>152</v>
      </c>
      <c r="B982" s="58">
        <f>Bil!C17</f>
        <v>6</v>
      </c>
      <c r="C982" s="58">
        <f>Bil!D17</f>
        <v>31279</v>
      </c>
      <c r="D982" s="58">
        <f>Bil!E17</f>
        <v>45581</v>
      </c>
      <c r="E982" s="58">
        <v>0</v>
      </c>
      <c r="F982" s="58">
        <v>0</v>
      </c>
      <c r="G982" s="59">
        <f t="shared" si="32"/>
        <v>734.64599999999996</v>
      </c>
      <c r="H982" s="59">
        <f t="shared" si="31"/>
        <v>0</v>
      </c>
      <c r="I982" s="60"/>
    </row>
    <row r="983" spans="1:9" x14ac:dyDescent="0.2">
      <c r="A983" s="57">
        <v>152</v>
      </c>
      <c r="B983" s="58">
        <f>Bil!C18</f>
        <v>7</v>
      </c>
      <c r="C983" s="58">
        <f>Bil!D18</f>
        <v>2525442</v>
      </c>
      <c r="D983" s="58">
        <f>Bil!E18</f>
        <v>2413291</v>
      </c>
      <c r="E983" s="58">
        <v>0</v>
      </c>
      <c r="F983" s="58">
        <v>0</v>
      </c>
      <c r="G983" s="59">
        <f t="shared" si="32"/>
        <v>51464.168000000005</v>
      </c>
      <c r="H983" s="59">
        <f t="shared" si="31"/>
        <v>0</v>
      </c>
      <c r="I983" s="60"/>
    </row>
    <row r="984" spans="1:9" x14ac:dyDescent="0.2">
      <c r="A984" s="57">
        <v>152</v>
      </c>
      <c r="B984" s="58">
        <f>Bil!C19</f>
        <v>8</v>
      </c>
      <c r="C984" s="58">
        <f>Bil!D19</f>
        <v>2305319</v>
      </c>
      <c r="D984" s="58">
        <f>Bil!E19</f>
        <v>2249399</v>
      </c>
      <c r="E984" s="58">
        <v>0</v>
      </c>
      <c r="F984" s="58">
        <v>0</v>
      </c>
      <c r="G984" s="59">
        <f t="shared" si="32"/>
        <v>54432.936000000002</v>
      </c>
      <c r="H984" s="59">
        <f t="shared" si="31"/>
        <v>0</v>
      </c>
      <c r="I984" s="60"/>
    </row>
    <row r="985" spans="1:9" x14ac:dyDescent="0.2">
      <c r="A985" s="57">
        <v>152</v>
      </c>
      <c r="B985" s="58">
        <f>Bil!C20</f>
        <v>9</v>
      </c>
      <c r="C985" s="58">
        <f>Bil!D20</f>
        <v>905655</v>
      </c>
      <c r="D985" s="58">
        <f>Bil!E20</f>
        <v>905655</v>
      </c>
      <c r="E985" s="58">
        <v>0</v>
      </c>
      <c r="F985" s="58">
        <v>0</v>
      </c>
      <c r="G985" s="59">
        <f t="shared" si="32"/>
        <v>24452.684999999998</v>
      </c>
      <c r="H985" s="59">
        <f t="shared" si="31"/>
        <v>0</v>
      </c>
      <c r="I985" s="60"/>
    </row>
    <row r="986" spans="1:9" x14ac:dyDescent="0.2">
      <c r="A986" s="57">
        <v>152</v>
      </c>
      <c r="B986" s="58">
        <f>Bil!C21</f>
        <v>10</v>
      </c>
      <c r="C986" s="58">
        <f>Bil!D21</f>
        <v>3567926</v>
      </c>
      <c r="D986" s="58">
        <f>Bil!E21</f>
        <v>3567926</v>
      </c>
      <c r="E986" s="58">
        <v>0</v>
      </c>
      <c r="F986" s="58">
        <v>0</v>
      </c>
      <c r="G986" s="59">
        <f t="shared" si="32"/>
        <v>107037.78</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2168262</v>
      </c>
      <c r="D989" s="58">
        <f>Bil!E24</f>
        <v>2224182</v>
      </c>
      <c r="E989" s="58">
        <v>0</v>
      </c>
      <c r="F989" s="58">
        <v>0</v>
      </c>
      <c r="G989" s="59">
        <f t="shared" si="32"/>
        <v>86016.137999999992</v>
      </c>
      <c r="H989" s="59">
        <f t="shared" si="31"/>
        <v>0</v>
      </c>
      <c r="I989" s="60"/>
    </row>
    <row r="990" spans="1:9" x14ac:dyDescent="0.2">
      <c r="A990" s="57">
        <v>152</v>
      </c>
      <c r="B990" s="58">
        <f>Bil!C25</f>
        <v>14</v>
      </c>
      <c r="C990" s="58">
        <f>Bil!D25</f>
        <v>203025</v>
      </c>
      <c r="D990" s="58">
        <f>Bil!E25</f>
        <v>149968</v>
      </c>
      <c r="E990" s="58">
        <v>0</v>
      </c>
      <c r="F990" s="58">
        <v>0</v>
      </c>
      <c r="G990" s="59">
        <f t="shared" si="32"/>
        <v>7041.4539999999997</v>
      </c>
      <c r="H990" s="59">
        <f t="shared" si="31"/>
        <v>0</v>
      </c>
      <c r="I990" s="60"/>
    </row>
    <row r="991" spans="1:9" x14ac:dyDescent="0.2">
      <c r="A991" s="57">
        <v>152</v>
      </c>
      <c r="B991" s="58">
        <f>Bil!C26</f>
        <v>15</v>
      </c>
      <c r="C991" s="58">
        <f>Bil!D26</f>
        <v>1105977</v>
      </c>
      <c r="D991" s="58">
        <f>Bil!E26</f>
        <v>1078165</v>
      </c>
      <c r="E991" s="58">
        <v>0</v>
      </c>
      <c r="F991" s="58">
        <v>0</v>
      </c>
      <c r="G991" s="59">
        <f t="shared" si="32"/>
        <v>48934.604999999996</v>
      </c>
      <c r="H991" s="59">
        <f t="shared" si="31"/>
        <v>0</v>
      </c>
      <c r="I991" s="60"/>
    </row>
    <row r="992" spans="1:9" x14ac:dyDescent="0.2">
      <c r="A992" s="57">
        <v>152</v>
      </c>
      <c r="B992" s="58">
        <f>Bil!C27</f>
        <v>16</v>
      </c>
      <c r="C992" s="58">
        <f>Bil!D27</f>
        <v>2700</v>
      </c>
      <c r="D992" s="58">
        <f>Bil!E27</f>
        <v>6447</v>
      </c>
      <c r="E992" s="58">
        <v>0</v>
      </c>
      <c r="F992" s="58">
        <v>0</v>
      </c>
      <c r="G992" s="59">
        <f t="shared" si="32"/>
        <v>249.50400000000002</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136538</v>
      </c>
      <c r="D997" s="58">
        <f>Bil!E32</f>
        <v>117016</v>
      </c>
      <c r="E997" s="58">
        <v>0</v>
      </c>
      <c r="F997" s="58">
        <v>0</v>
      </c>
      <c r="G997" s="59">
        <f t="shared" si="32"/>
        <v>7781.9700000000012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1042190</v>
      </c>
      <c r="D999" s="58">
        <f>Bil!E34</f>
        <v>1051660</v>
      </c>
      <c r="E999" s="58">
        <v>0</v>
      </c>
      <c r="F999" s="58">
        <v>0</v>
      </c>
      <c r="G999" s="59">
        <f t="shared" si="32"/>
        <v>72346.73</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1259</v>
      </c>
      <c r="D1001" s="58">
        <f>Bil!E36</f>
        <v>1259</v>
      </c>
      <c r="E1001" s="58">
        <v>0</v>
      </c>
      <c r="F1001" s="58">
        <v>0</v>
      </c>
      <c r="G1001" s="59">
        <f t="shared" si="32"/>
        <v>94.425000000000011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1259</v>
      </c>
      <c r="D1005" s="58">
        <f>Bil!E40</f>
        <v>1259</v>
      </c>
      <c r="E1005" s="58">
        <v>0</v>
      </c>
      <c r="F1005" s="58">
        <v>0</v>
      </c>
      <c r="G1005" s="59">
        <f t="shared" si="32"/>
        <v>109.53300000000002</v>
      </c>
      <c r="H1005" s="59">
        <f t="shared" si="31"/>
        <v>0</v>
      </c>
      <c r="I1005" s="60"/>
    </row>
    <row r="1006" spans="1:9" x14ac:dyDescent="0.2">
      <c r="A1006" s="57">
        <v>152</v>
      </c>
      <c r="B1006" s="58">
        <f>Bil!C41</f>
        <v>30</v>
      </c>
      <c r="C1006" s="58">
        <f>Bil!D41</f>
        <v>17098</v>
      </c>
      <c r="D1006" s="58">
        <f>Bil!E41</f>
        <v>13924</v>
      </c>
      <c r="E1006" s="58">
        <v>0</v>
      </c>
      <c r="F1006" s="58">
        <v>0</v>
      </c>
      <c r="G1006" s="59">
        <f t="shared" si="32"/>
        <v>1348.3799999999999</v>
      </c>
      <c r="H1006" s="59">
        <f t="shared" si="31"/>
        <v>0</v>
      </c>
      <c r="I1006" s="60"/>
    </row>
    <row r="1007" spans="1:9" x14ac:dyDescent="0.2">
      <c r="A1007" s="57">
        <v>152</v>
      </c>
      <c r="B1007" s="58">
        <f>Bil!C42</f>
        <v>31</v>
      </c>
      <c r="C1007" s="58">
        <f>Bil!D42</f>
        <v>69941</v>
      </c>
      <c r="D1007" s="58">
        <f>Bil!E42</f>
        <v>69961</v>
      </c>
      <c r="E1007" s="58">
        <v>0</v>
      </c>
      <c r="F1007" s="58">
        <v>0</v>
      </c>
      <c r="G1007" s="59">
        <f t="shared" si="32"/>
        <v>6505.7530000000006</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52843</v>
      </c>
      <c r="D1011" s="58">
        <f>Bil!E46</f>
        <v>56037</v>
      </c>
      <c r="E1011" s="58">
        <v>0</v>
      </c>
      <c r="F1011" s="58">
        <v>0</v>
      </c>
      <c r="G1011" s="59">
        <f t="shared" si="32"/>
        <v>5772.0950000000012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155794</v>
      </c>
      <c r="D1025" s="58">
        <f>Bil!E60</f>
        <v>165283</v>
      </c>
      <c r="E1025" s="58">
        <v>0</v>
      </c>
      <c r="F1025" s="58">
        <v>0</v>
      </c>
      <c r="G1025" s="59">
        <f t="shared" si="32"/>
        <v>23831.64</v>
      </c>
      <c r="H1025" s="59">
        <f t="shared" si="31"/>
        <v>0</v>
      </c>
      <c r="I1025" s="60"/>
    </row>
    <row r="1026" spans="1:9" x14ac:dyDescent="0.2">
      <c r="A1026" s="57">
        <v>152</v>
      </c>
      <c r="B1026" s="58">
        <f>Bil!C61</f>
        <v>50</v>
      </c>
      <c r="C1026" s="58">
        <f>Bil!D61</f>
        <v>155794</v>
      </c>
      <c r="D1026" s="58">
        <f>Bil!E61</f>
        <v>165283</v>
      </c>
      <c r="E1026" s="58">
        <v>0</v>
      </c>
      <c r="F1026" s="58">
        <v>0</v>
      </c>
      <c r="G1026" s="59">
        <f t="shared" si="32"/>
        <v>24318</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545017</v>
      </c>
      <c r="D1039" s="58">
        <f>Bil!E74</f>
        <v>568001</v>
      </c>
      <c r="E1039" s="58">
        <v>0</v>
      </c>
      <c r="F1039" s="58">
        <v>0</v>
      </c>
      <c r="G1039" s="59">
        <f t="shared" si="32"/>
        <v>105904.19700000001</v>
      </c>
      <c r="H1039" s="59">
        <f t="shared" si="33"/>
        <v>0</v>
      </c>
      <c r="I1039" s="60"/>
    </row>
    <row r="1040" spans="1:9" x14ac:dyDescent="0.2">
      <c r="A1040" s="57">
        <v>152</v>
      </c>
      <c r="B1040" s="58">
        <f>Bil!C75</f>
        <v>64</v>
      </c>
      <c r="C1040" s="58">
        <f>Bil!D75</f>
        <v>17641</v>
      </c>
      <c r="D1040" s="58">
        <f>Bil!E75</f>
        <v>32705</v>
      </c>
      <c r="E1040" s="58">
        <v>0</v>
      </c>
      <c r="F1040" s="58">
        <v>0</v>
      </c>
      <c r="G1040" s="59">
        <f t="shared" si="32"/>
        <v>5315.2640000000001</v>
      </c>
      <c r="H1040" s="59">
        <f t="shared" si="33"/>
        <v>0</v>
      </c>
      <c r="I1040" s="60"/>
    </row>
    <row r="1041" spans="1:9" x14ac:dyDescent="0.2">
      <c r="A1041" s="57">
        <v>152</v>
      </c>
      <c r="B1041" s="58">
        <f>Bil!C76</f>
        <v>65</v>
      </c>
      <c r="C1041" s="58">
        <f>Bil!D76</f>
        <v>16315</v>
      </c>
      <c r="D1041" s="58">
        <f>Bil!E76</f>
        <v>32171</v>
      </c>
      <c r="E1041" s="58">
        <v>0</v>
      </c>
      <c r="F1041" s="58">
        <v>0</v>
      </c>
      <c r="G1041" s="59">
        <f t="shared" ref="G1041:G1104" si="34">B1041/1000*C1041+B1041/500*D1041</f>
        <v>5242.7050000000008</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16315</v>
      </c>
      <c r="D1043" s="58">
        <f>Bil!E78</f>
        <v>32171</v>
      </c>
      <c r="E1043" s="58">
        <v>0</v>
      </c>
      <c r="F1043" s="58">
        <v>0</v>
      </c>
      <c r="G1043" s="59">
        <f t="shared" si="34"/>
        <v>5404.0190000000002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1326</v>
      </c>
      <c r="D1047" s="58">
        <f>Bil!E82</f>
        <v>534</v>
      </c>
      <c r="E1047" s="58">
        <v>0</v>
      </c>
      <c r="F1047" s="58">
        <v>0</v>
      </c>
      <c r="G1047" s="59">
        <f t="shared" si="34"/>
        <v>169.97399999999999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4575</v>
      </c>
      <c r="D1049" s="58">
        <f>Bil!E84</f>
        <v>0</v>
      </c>
      <c r="E1049" s="58">
        <v>0</v>
      </c>
      <c r="F1049" s="58">
        <v>0</v>
      </c>
      <c r="G1049" s="59">
        <f t="shared" si="34"/>
        <v>333.97499999999997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4575</v>
      </c>
      <c r="D1056" s="58">
        <f>Bil!E91</f>
        <v>0</v>
      </c>
      <c r="E1056" s="58">
        <v>0</v>
      </c>
      <c r="F1056" s="58">
        <v>0</v>
      </c>
      <c r="G1056" s="59">
        <f t="shared" si="34"/>
        <v>366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2127</v>
      </c>
      <c r="D1116" s="58">
        <f>Bil!E151</f>
        <v>1158</v>
      </c>
      <c r="E1116" s="58">
        <v>0</v>
      </c>
      <c r="F1116" s="58">
        <v>0</v>
      </c>
      <c r="G1116" s="59">
        <f t="shared" si="36"/>
        <v>622.02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2127</v>
      </c>
      <c r="D1129" s="58">
        <f>Bil!E164</f>
        <v>1158</v>
      </c>
      <c r="E1129" s="58">
        <v>0</v>
      </c>
      <c r="F1129" s="58">
        <v>0</v>
      </c>
      <c r="G1129" s="59">
        <f t="shared" si="36"/>
        <v>679.779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520674</v>
      </c>
      <c r="D1134" s="58">
        <f>Bil!E169</f>
        <v>534138</v>
      </c>
      <c r="E1134" s="58">
        <v>0</v>
      </c>
      <c r="F1134" s="58">
        <v>0</v>
      </c>
      <c r="G1134" s="59">
        <f t="shared" si="36"/>
        <v>251054.1</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520674</v>
      </c>
      <c r="D1137" s="58">
        <f>Bil!E172</f>
        <v>534138</v>
      </c>
      <c r="E1137" s="58">
        <v>0</v>
      </c>
      <c r="F1137" s="58">
        <v>0</v>
      </c>
      <c r="G1137" s="59">
        <f t="shared" si="36"/>
        <v>255820.95</v>
      </c>
      <c r="H1137" s="59">
        <f t="shared" si="35"/>
        <v>0</v>
      </c>
      <c r="I1137" s="60"/>
    </row>
    <row r="1138" spans="1:9" x14ac:dyDescent="0.2">
      <c r="A1138" s="57">
        <v>152</v>
      </c>
      <c r="B1138" s="58">
        <f>Bil!C173</f>
        <v>162</v>
      </c>
      <c r="C1138" s="58">
        <f>Bil!D173</f>
        <v>3230565</v>
      </c>
      <c r="D1138" s="58">
        <f>Bil!E173</f>
        <v>3127096</v>
      </c>
      <c r="E1138" s="58">
        <v>0</v>
      </c>
      <c r="F1138" s="58">
        <v>0</v>
      </c>
      <c r="G1138" s="59">
        <f t="shared" si="36"/>
        <v>1536530.6340000001</v>
      </c>
      <c r="H1138" s="59">
        <f t="shared" si="35"/>
        <v>0</v>
      </c>
      <c r="I1138" s="60"/>
    </row>
    <row r="1139" spans="1:9" x14ac:dyDescent="0.2">
      <c r="A1139" s="57">
        <v>152</v>
      </c>
      <c r="B1139" s="58">
        <f>Bil!C174</f>
        <v>163</v>
      </c>
      <c r="C1139" s="58">
        <f>Bil!D174</f>
        <v>598434</v>
      </c>
      <c r="D1139" s="58">
        <f>Bil!E174</f>
        <v>603027</v>
      </c>
      <c r="E1139" s="58">
        <v>0</v>
      </c>
      <c r="F1139" s="58">
        <v>0</v>
      </c>
      <c r="G1139" s="59">
        <f t="shared" si="36"/>
        <v>294131.54399999999</v>
      </c>
      <c r="H1139" s="59">
        <f t="shared" si="35"/>
        <v>0</v>
      </c>
      <c r="I1139" s="60"/>
    </row>
    <row r="1140" spans="1:9" x14ac:dyDescent="0.2">
      <c r="A1140" s="57">
        <v>152</v>
      </c>
      <c r="B1140" s="58">
        <f>Bil!C175</f>
        <v>164</v>
      </c>
      <c r="C1140" s="58">
        <f>Bil!D175</f>
        <v>598434</v>
      </c>
      <c r="D1140" s="58">
        <f>Bil!E175</f>
        <v>603027</v>
      </c>
      <c r="E1140" s="58">
        <v>0</v>
      </c>
      <c r="F1140" s="58">
        <v>0</v>
      </c>
      <c r="G1140" s="59">
        <f t="shared" si="36"/>
        <v>295936.03200000001</v>
      </c>
      <c r="H1140" s="59">
        <f t="shared" si="35"/>
        <v>0</v>
      </c>
      <c r="I1140" s="60"/>
    </row>
    <row r="1141" spans="1:9" x14ac:dyDescent="0.2">
      <c r="A1141" s="57">
        <v>152</v>
      </c>
      <c r="B1141" s="58">
        <f>Bil!C176</f>
        <v>165</v>
      </c>
      <c r="C1141" s="58">
        <f>Bil!D176</f>
        <v>523751</v>
      </c>
      <c r="D1141" s="58">
        <f>Bil!E176</f>
        <v>534138</v>
      </c>
      <c r="E1141" s="58">
        <v>0</v>
      </c>
      <c r="F1141" s="58">
        <v>0</v>
      </c>
      <c r="G1141" s="59">
        <f t="shared" si="36"/>
        <v>262684.45500000002</v>
      </c>
      <c r="H1141" s="59">
        <f t="shared" si="35"/>
        <v>0</v>
      </c>
      <c r="I1141" s="60"/>
    </row>
    <row r="1142" spans="1:9" x14ac:dyDescent="0.2">
      <c r="A1142" s="57">
        <v>152</v>
      </c>
      <c r="B1142" s="58">
        <f>Bil!C177</f>
        <v>166</v>
      </c>
      <c r="C1142" s="58">
        <f>Bil!D177</f>
        <v>70108</v>
      </c>
      <c r="D1142" s="58">
        <f>Bil!E177</f>
        <v>68689</v>
      </c>
      <c r="E1142" s="58">
        <v>0</v>
      </c>
      <c r="F1142" s="58">
        <v>0</v>
      </c>
      <c r="G1142" s="59">
        <f t="shared" si="36"/>
        <v>34442.675999999999</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4575</v>
      </c>
      <c r="D1150" s="58">
        <f>Bil!E185</f>
        <v>200</v>
      </c>
      <c r="E1150" s="58">
        <v>0</v>
      </c>
      <c r="F1150" s="58">
        <v>0</v>
      </c>
      <c r="G1150" s="59">
        <f t="shared" si="36"/>
        <v>865.65</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2632131</v>
      </c>
      <c r="D1199" s="58">
        <f>Bil!E234</f>
        <v>2524069</v>
      </c>
      <c r="E1199" s="58">
        <v>0</v>
      </c>
      <c r="F1199" s="58">
        <v>0</v>
      </c>
      <c r="G1199" s="59">
        <f t="shared" si="38"/>
        <v>1712699.987</v>
      </c>
      <c r="H1199" s="59">
        <f t="shared" si="37"/>
        <v>0</v>
      </c>
      <c r="I1199" s="60"/>
    </row>
    <row r="1200" spans="1:9" x14ac:dyDescent="0.2">
      <c r="A1200" s="57">
        <v>152</v>
      </c>
      <c r="B1200" s="58">
        <f>Bil!C235</f>
        <v>224</v>
      </c>
      <c r="C1200" s="58">
        <f>Bil!D235</f>
        <v>2685548</v>
      </c>
      <c r="D1200" s="58">
        <f>Bil!E235</f>
        <v>2559095</v>
      </c>
      <c r="E1200" s="58">
        <v>0</v>
      </c>
      <c r="F1200" s="58">
        <v>0</v>
      </c>
      <c r="G1200" s="59">
        <f t="shared" si="38"/>
        <v>1748037.3119999999</v>
      </c>
      <c r="H1200" s="59">
        <f t="shared" si="37"/>
        <v>0</v>
      </c>
      <c r="I1200" s="60"/>
    </row>
    <row r="1201" spans="1:9" x14ac:dyDescent="0.2">
      <c r="A1201" s="57">
        <v>152</v>
      </c>
      <c r="B1201" s="58">
        <f>Bil!C236</f>
        <v>225</v>
      </c>
      <c r="C1201" s="58">
        <f>Bil!D236</f>
        <v>2685548</v>
      </c>
      <c r="D1201" s="58">
        <f>Bil!E236</f>
        <v>2559095</v>
      </c>
      <c r="E1201" s="58">
        <v>0</v>
      </c>
      <c r="F1201" s="58">
        <v>0</v>
      </c>
      <c r="G1201" s="59">
        <f t="shared" si="38"/>
        <v>1755841.05</v>
      </c>
      <c r="H1201" s="59">
        <f t="shared" si="37"/>
        <v>0</v>
      </c>
      <c r="I1201" s="60"/>
    </row>
    <row r="1202" spans="1:9" x14ac:dyDescent="0.2">
      <c r="A1202" s="57">
        <v>152</v>
      </c>
      <c r="B1202" s="58">
        <f>Bil!C237</f>
        <v>226</v>
      </c>
      <c r="C1202" s="58">
        <f>Bil!D237</f>
        <v>2641319</v>
      </c>
      <c r="D1202" s="58">
        <f>Bil!E237</f>
        <v>2529168</v>
      </c>
      <c r="E1202" s="58">
        <v>0</v>
      </c>
      <c r="F1202" s="58">
        <v>0</v>
      </c>
      <c r="G1202" s="59">
        <f t="shared" si="38"/>
        <v>1740122.03</v>
      </c>
      <c r="H1202" s="59">
        <f t="shared" si="37"/>
        <v>0</v>
      </c>
      <c r="I1202" s="60"/>
    </row>
    <row r="1203" spans="1:9" x14ac:dyDescent="0.2">
      <c r="A1203" s="57">
        <v>152</v>
      </c>
      <c r="B1203" s="58">
        <f>Bil!C238</f>
        <v>227</v>
      </c>
      <c r="C1203" s="58">
        <f>Bil!D238</f>
        <v>44229</v>
      </c>
      <c r="D1203" s="58">
        <f>Bil!E238</f>
        <v>29927</v>
      </c>
      <c r="E1203" s="58">
        <v>0</v>
      </c>
      <c r="F1203" s="58">
        <v>0</v>
      </c>
      <c r="G1203" s="59">
        <f t="shared" si="38"/>
        <v>23626.841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699112</v>
      </c>
      <c r="D1208" s="58">
        <f>Bil!E243</f>
        <v>734587</v>
      </c>
      <c r="E1208" s="58">
        <v>0</v>
      </c>
      <c r="F1208" s="58">
        <v>0</v>
      </c>
      <c r="G1208" s="59">
        <f t="shared" si="38"/>
        <v>503042.35200000001</v>
      </c>
      <c r="H1208" s="59">
        <f t="shared" si="37"/>
        <v>0</v>
      </c>
      <c r="I1208" s="60"/>
    </row>
    <row r="1209" spans="1:9" x14ac:dyDescent="0.2">
      <c r="A1209" s="57">
        <v>152</v>
      </c>
      <c r="B1209" s="58">
        <f>Bil!C244</f>
        <v>233</v>
      </c>
      <c r="C1209" s="58">
        <f>Bil!D244</f>
        <v>699112</v>
      </c>
      <c r="D1209" s="58">
        <f>Bil!E244</f>
        <v>734587</v>
      </c>
      <c r="E1209" s="58">
        <v>0</v>
      </c>
      <c r="F1209" s="58">
        <v>0</v>
      </c>
      <c r="G1209" s="59">
        <f t="shared" si="38"/>
        <v>505210.63800000004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754656</v>
      </c>
      <c r="D1212" s="58">
        <f>Bil!E247</f>
        <v>770771</v>
      </c>
      <c r="E1212" s="58">
        <v>0</v>
      </c>
      <c r="F1212" s="58">
        <v>0</v>
      </c>
      <c r="G1212" s="59">
        <f t="shared" si="38"/>
        <v>541902.72799999989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754656</v>
      </c>
      <c r="D1214" s="58">
        <f>Bil!E249</f>
        <v>770771</v>
      </c>
      <c r="E1214" s="58">
        <v>0</v>
      </c>
      <c r="F1214" s="58">
        <v>0</v>
      </c>
      <c r="G1214" s="59">
        <f t="shared" si="38"/>
        <v>546495.12399999995</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2127</v>
      </c>
      <c r="D1216" s="58">
        <f>Bil!E251</f>
        <v>1158</v>
      </c>
      <c r="E1216" s="58">
        <v>0</v>
      </c>
      <c r="F1216" s="58">
        <v>0</v>
      </c>
      <c r="G1216" s="59">
        <f t="shared" si="38"/>
        <v>1066.32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733178</v>
      </c>
      <c r="E1220" s="58">
        <v>0</v>
      </c>
      <c r="F1220" s="58">
        <v>0</v>
      </c>
      <c r="G1220" s="59">
        <f t="shared" si="38"/>
        <v>357790.864</v>
      </c>
      <c r="H1220" s="59">
        <f t="shared" si="39"/>
        <v>0</v>
      </c>
      <c r="I1220" s="60"/>
    </row>
    <row r="1221" spans="1:9" x14ac:dyDescent="0.2">
      <c r="A1221" s="57">
        <v>152</v>
      </c>
      <c r="B1221" s="58">
        <f>Bil!C256</f>
        <v>245</v>
      </c>
      <c r="C1221" s="58">
        <f>Bil!D256</f>
        <v>0</v>
      </c>
      <c r="D1221" s="58">
        <f>Bil!E256</f>
        <v>733178</v>
      </c>
      <c r="E1221" s="58">
        <v>0</v>
      </c>
      <c r="F1221" s="58">
        <v>0</v>
      </c>
      <c r="G1221" s="59">
        <f t="shared" si="38"/>
        <v>359257.22</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2127</v>
      </c>
      <c r="D1224" s="58">
        <f>Bil!E260</f>
        <v>1158</v>
      </c>
      <c r="E1224" s="58">
        <v>0</v>
      </c>
      <c r="F1224" s="58">
        <v>0</v>
      </c>
      <c r="G1224" s="59">
        <f t="shared" si="38"/>
        <v>1101.864</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598434</v>
      </c>
      <c r="D1251" s="58">
        <f>Bil!E287</f>
        <v>603027</v>
      </c>
      <c r="E1251" s="58">
        <v>0</v>
      </c>
      <c r="F1251" s="58">
        <v>0</v>
      </c>
      <c r="G1251" s="59">
        <f t="shared" si="40"/>
        <v>496234.20000000007</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7246140</v>
      </c>
      <c r="D1396" s="58">
        <f>RasF!E121</f>
        <v>7486152</v>
      </c>
      <c r="E1396" s="58">
        <v>0</v>
      </c>
      <c r="F1396" s="58">
        <v>0</v>
      </c>
      <c r="G1396" s="59">
        <f t="shared" si="44"/>
        <v>2444028.84</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7246140</v>
      </c>
      <c r="D1400" s="58">
        <f>RasF!E125</f>
        <v>7486152</v>
      </c>
      <c r="E1400" s="58">
        <v>0</v>
      </c>
      <c r="F1400" s="58">
        <v>0</v>
      </c>
      <c r="G1400" s="59">
        <f t="shared" si="44"/>
        <v>2532902.6159999999</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7246140</v>
      </c>
      <c r="D1402" s="58">
        <f>RasF!E127</f>
        <v>7486152</v>
      </c>
      <c r="E1402" s="58">
        <v>0</v>
      </c>
      <c r="F1402" s="58">
        <v>0</v>
      </c>
      <c r="G1402" s="59">
        <f t="shared" si="44"/>
        <v>2577339.5040000002</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7246140</v>
      </c>
      <c r="D1423" s="67">
        <f>RasF!E148</f>
        <v>7486152</v>
      </c>
      <c r="E1423" s="67">
        <v>0</v>
      </c>
      <c r="F1423" s="67">
        <v>0</v>
      </c>
      <c r="G1423" s="68">
        <f t="shared" si="44"/>
        <v>3043926.8280000002</v>
      </c>
      <c r="H1423" s="68">
        <f t="shared" si="45"/>
        <v>0</v>
      </c>
      <c r="I1423" s="69"/>
    </row>
    <row r="1424" spans="1:9" x14ac:dyDescent="0.2">
      <c r="A1424" s="62">
        <v>156</v>
      </c>
      <c r="B1424" s="63">
        <f>PVRIO!C12</f>
        <v>1</v>
      </c>
      <c r="C1424" s="70">
        <f>PVRIO!D12</f>
        <v>0</v>
      </c>
      <c r="D1424" s="70">
        <f>PVRIO!E12</f>
        <v>59682</v>
      </c>
      <c r="E1424" s="70">
        <v>0</v>
      </c>
      <c r="F1424" s="70">
        <v>0</v>
      </c>
      <c r="G1424" s="64">
        <f t="shared" si="44"/>
        <v>119.364</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59682</v>
      </c>
      <c r="E1441" s="61">
        <v>0</v>
      </c>
      <c r="F1441" s="61">
        <v>0</v>
      </c>
      <c r="G1441" s="59">
        <f t="shared" si="46"/>
        <v>2148.5519999999997</v>
      </c>
      <c r="H1441" s="59">
        <f t="shared" si="45"/>
        <v>0</v>
      </c>
      <c r="I1441" s="60">
        <v>0</v>
      </c>
    </row>
    <row r="1442" spans="1:9" x14ac:dyDescent="0.2">
      <c r="A1442" s="57">
        <v>156</v>
      </c>
      <c r="B1442" s="58">
        <f>PVRIO!C30</f>
        <v>19</v>
      </c>
      <c r="C1442" s="61">
        <f>PVRIO!D30</f>
        <v>0</v>
      </c>
      <c r="D1442" s="61">
        <f>PVRIO!E30</f>
        <v>59682</v>
      </c>
      <c r="E1442" s="61">
        <v>0</v>
      </c>
      <c r="F1442" s="61">
        <v>0</v>
      </c>
      <c r="G1442" s="59">
        <f t="shared" si="46"/>
        <v>2267.9160000000002</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59682</v>
      </c>
      <c r="E1444" s="61">
        <v>0</v>
      </c>
      <c r="F1444" s="61">
        <v>0</v>
      </c>
      <c r="G1444" s="59">
        <f t="shared" si="46"/>
        <v>2506.6440000000002</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598434</v>
      </c>
      <c r="D1468" s="70"/>
      <c r="E1468" s="70">
        <v>0</v>
      </c>
      <c r="F1468" s="70">
        <v>0</v>
      </c>
      <c r="G1468" s="64">
        <f t="shared" ref="G1468:G1499" si="51">B1468/1000*C1468</f>
        <v>598.43399999999997</v>
      </c>
      <c r="H1468" s="64">
        <f t="shared" ref="H1468:H1499" si="52">ABS(C1468-ROUND(C1468,0))</f>
        <v>0</v>
      </c>
      <c r="I1468" s="65"/>
    </row>
    <row r="1469" spans="1:9" x14ac:dyDescent="0.2">
      <c r="A1469" s="73">
        <v>159</v>
      </c>
      <c r="B1469" s="61">
        <f>Obv!C13</f>
        <v>2</v>
      </c>
      <c r="C1469" s="61">
        <f>Obv!D13</f>
        <v>603027</v>
      </c>
      <c r="D1469" s="61">
        <v>0</v>
      </c>
      <c r="E1469" s="61">
        <v>0</v>
      </c>
      <c r="F1469" s="61">
        <v>0</v>
      </c>
      <c r="G1469" s="59">
        <f t="shared" si="51"/>
        <v>1206.0540000000001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603027</v>
      </c>
      <c r="D1471" s="61">
        <v>0</v>
      </c>
      <c r="E1471" s="61">
        <v>0</v>
      </c>
      <c r="F1471" s="61">
        <v>0</v>
      </c>
      <c r="G1471" s="59">
        <f t="shared" si="51"/>
        <v>2412.1080000000002</v>
      </c>
      <c r="H1471" s="59">
        <f t="shared" si="52"/>
        <v>0</v>
      </c>
      <c r="I1471" s="60"/>
    </row>
    <row r="1472" spans="1:9" x14ac:dyDescent="0.2">
      <c r="A1472" s="73">
        <v>159</v>
      </c>
      <c r="B1472" s="61">
        <f>Obv!C16</f>
        <v>5</v>
      </c>
      <c r="C1472" s="61">
        <f>Obv!D16</f>
        <v>534138</v>
      </c>
      <c r="D1472" s="61">
        <v>0</v>
      </c>
      <c r="E1472" s="61">
        <v>0</v>
      </c>
      <c r="F1472" s="61">
        <v>0</v>
      </c>
      <c r="G1472" s="59">
        <f t="shared" si="51"/>
        <v>2670.69</v>
      </c>
      <c r="H1472" s="59">
        <f t="shared" si="52"/>
        <v>0</v>
      </c>
      <c r="I1472" s="60"/>
    </row>
    <row r="1473" spans="1:9" x14ac:dyDescent="0.2">
      <c r="A1473" s="73">
        <v>159</v>
      </c>
      <c r="B1473" s="61">
        <f>Obv!C17</f>
        <v>6</v>
      </c>
      <c r="C1473" s="61">
        <f>Obv!D17</f>
        <v>68689</v>
      </c>
      <c r="D1473" s="61">
        <v>0</v>
      </c>
      <c r="E1473" s="61">
        <v>0</v>
      </c>
      <c r="F1473" s="61">
        <v>0</v>
      </c>
      <c r="G1473" s="59">
        <f t="shared" si="51"/>
        <v>412.13400000000001</v>
      </c>
      <c r="H1473" s="59">
        <f t="shared" si="52"/>
        <v>0</v>
      </c>
      <c r="I1473" s="60"/>
    </row>
    <row r="1474" spans="1:9" x14ac:dyDescent="0.2">
      <c r="A1474" s="73">
        <v>159</v>
      </c>
      <c r="B1474" s="61">
        <f>Obv!C18</f>
        <v>7</v>
      </c>
      <c r="C1474" s="61">
        <f>Obv!D18</f>
        <v>0</v>
      </c>
      <c r="D1474" s="61">
        <v>0</v>
      </c>
      <c r="E1474" s="61">
        <v>0</v>
      </c>
      <c r="F1474" s="61">
        <v>0</v>
      </c>
      <c r="G1474" s="59">
        <f t="shared" si="51"/>
        <v>0</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200</v>
      </c>
      <c r="D1478" s="61">
        <v>0</v>
      </c>
      <c r="E1478" s="61">
        <v>0</v>
      </c>
      <c r="F1478" s="61">
        <v>0</v>
      </c>
      <c r="G1478" s="59">
        <f t="shared" si="51"/>
        <v>2.1999999999999997</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598434</v>
      </c>
      <c r="D1486" s="61">
        <v>0</v>
      </c>
      <c r="E1486" s="61">
        <v>0</v>
      </c>
      <c r="F1486" s="61">
        <v>0</v>
      </c>
      <c r="G1486" s="59">
        <f t="shared" si="51"/>
        <v>11370.245999999999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598434</v>
      </c>
      <c r="D1488" s="61">
        <v>0</v>
      </c>
      <c r="E1488" s="61">
        <v>0</v>
      </c>
      <c r="F1488" s="61">
        <v>0</v>
      </c>
      <c r="G1488" s="59">
        <f t="shared" si="51"/>
        <v>12567.114000000001</v>
      </c>
      <c r="H1488" s="59">
        <f t="shared" si="52"/>
        <v>0</v>
      </c>
      <c r="I1488" s="60"/>
    </row>
    <row r="1489" spans="1:9" x14ac:dyDescent="0.2">
      <c r="A1489" s="73">
        <v>159</v>
      </c>
      <c r="B1489" s="61">
        <f>Obv!C33</f>
        <v>22</v>
      </c>
      <c r="C1489" s="61">
        <f>Obv!D33</f>
        <v>523751</v>
      </c>
      <c r="D1489" s="61">
        <v>0</v>
      </c>
      <c r="E1489" s="61">
        <v>0</v>
      </c>
      <c r="F1489" s="61">
        <v>0</v>
      </c>
      <c r="G1489" s="59">
        <f t="shared" si="51"/>
        <v>11522.521999999999</v>
      </c>
      <c r="H1489" s="59">
        <f t="shared" si="52"/>
        <v>0</v>
      </c>
      <c r="I1489" s="60"/>
    </row>
    <row r="1490" spans="1:9" x14ac:dyDescent="0.2">
      <c r="A1490" s="73">
        <v>159</v>
      </c>
      <c r="B1490" s="61">
        <f>Obv!C34</f>
        <v>23</v>
      </c>
      <c r="C1490" s="61">
        <f>Obv!D34</f>
        <v>70108</v>
      </c>
      <c r="D1490" s="61">
        <v>0</v>
      </c>
      <c r="E1490" s="61">
        <v>0</v>
      </c>
      <c r="F1490" s="61">
        <v>0</v>
      </c>
      <c r="G1490" s="59">
        <f t="shared" si="51"/>
        <v>1612.4839999999999</v>
      </c>
      <c r="H1490" s="59">
        <f t="shared" si="52"/>
        <v>0</v>
      </c>
      <c r="I1490" s="60"/>
    </row>
    <row r="1491" spans="1:9" x14ac:dyDescent="0.2">
      <c r="A1491" s="73">
        <v>159</v>
      </c>
      <c r="B1491" s="61">
        <f>Obv!C35</f>
        <v>24</v>
      </c>
      <c r="C1491" s="61">
        <f>Obv!D35</f>
        <v>0</v>
      </c>
      <c r="D1491" s="61">
        <v>0</v>
      </c>
      <c r="E1491" s="61">
        <v>0</v>
      </c>
      <c r="F1491" s="61">
        <v>0</v>
      </c>
      <c r="G1491" s="59">
        <f t="shared" si="51"/>
        <v>0</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4575</v>
      </c>
      <c r="D1495" s="61">
        <v>0</v>
      </c>
      <c r="E1495" s="61">
        <v>0</v>
      </c>
      <c r="F1495" s="61">
        <v>0</v>
      </c>
      <c r="G1495" s="59">
        <f t="shared" si="51"/>
        <v>128.1</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603027</v>
      </c>
      <c r="D1503" s="61">
        <v>0</v>
      </c>
      <c r="E1503" s="61">
        <v>0</v>
      </c>
      <c r="F1503" s="61">
        <v>0</v>
      </c>
      <c r="G1503" s="59">
        <f t="shared" si="53"/>
        <v>21708.971999999998</v>
      </c>
      <c r="H1503" s="59">
        <f t="shared" si="54"/>
        <v>0</v>
      </c>
      <c r="I1503" s="60"/>
    </row>
    <row r="1504" spans="1:9" x14ac:dyDescent="0.2">
      <c r="A1504" s="73">
        <v>159</v>
      </c>
      <c r="B1504" s="61">
        <f>Obv!C48</f>
        <v>37</v>
      </c>
      <c r="C1504" s="61">
        <f>Obv!D48</f>
        <v>68689</v>
      </c>
      <c r="D1504" s="61">
        <v>0</v>
      </c>
      <c r="E1504" s="61">
        <v>0</v>
      </c>
      <c r="F1504" s="61">
        <v>0</v>
      </c>
      <c r="G1504" s="59">
        <f t="shared" si="53"/>
        <v>2541.4929999999999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68689</v>
      </c>
      <c r="D1510" s="61">
        <v>0</v>
      </c>
      <c r="E1510" s="61">
        <v>0</v>
      </c>
      <c r="F1510" s="61">
        <v>0</v>
      </c>
      <c r="G1510" s="59">
        <f t="shared" si="53"/>
        <v>2953.627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68689</v>
      </c>
      <c r="D1516" s="61">
        <v>0</v>
      </c>
      <c r="E1516" s="61">
        <v>0</v>
      </c>
      <c r="F1516" s="61">
        <v>0</v>
      </c>
      <c r="G1516" s="59">
        <f t="shared" si="53"/>
        <v>3365.761</v>
      </c>
      <c r="H1516" s="59">
        <f t="shared" si="54"/>
        <v>0</v>
      </c>
      <c r="I1516" s="60"/>
    </row>
    <row r="1517" spans="1:9" x14ac:dyDescent="0.2">
      <c r="A1517" s="73">
        <v>159</v>
      </c>
      <c r="B1517" s="61">
        <f>Obv!C61</f>
        <v>50</v>
      </c>
      <c r="C1517" s="61">
        <f>Obv!D61</f>
        <v>68689</v>
      </c>
      <c r="D1517" s="61">
        <v>0</v>
      </c>
      <c r="E1517" s="61">
        <v>0</v>
      </c>
      <c r="F1517" s="61">
        <v>0</v>
      </c>
      <c r="G1517" s="59">
        <f t="shared" si="53"/>
        <v>3434.4500000000003</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534338</v>
      </c>
      <c r="D1557" s="61">
        <v>0</v>
      </c>
      <c r="E1557" s="61">
        <v>0</v>
      </c>
      <c r="F1557" s="61">
        <v>0</v>
      </c>
      <c r="G1557" s="59">
        <f t="shared" si="55"/>
        <v>48090.42</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534338</v>
      </c>
      <c r="D1559" s="61">
        <v>0</v>
      </c>
      <c r="E1559" s="61">
        <v>0</v>
      </c>
      <c r="F1559" s="61">
        <v>0</v>
      </c>
      <c r="G1559" s="59">
        <f t="shared" si="55"/>
        <v>49159.095999999998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7" t="s">
        <v>1561</v>
      </c>
      <c r="B1" s="368"/>
      <c r="C1" s="359" t="s">
        <v>2063</v>
      </c>
      <c r="D1" s="359"/>
      <c r="E1" s="359" t="s">
        <v>2064</v>
      </c>
      <c r="F1" s="359"/>
      <c r="G1" s="359" t="s">
        <v>2065</v>
      </c>
      <c r="H1" s="359"/>
      <c r="I1" s="359"/>
      <c r="J1" s="359" t="s">
        <v>1740</v>
      </c>
      <c r="K1" s="360"/>
    </row>
    <row r="2" spans="1:11" ht="32.1" customHeight="1" x14ac:dyDescent="0.2">
      <c r="A2" s="18"/>
      <c r="B2" s="18"/>
      <c r="C2" s="18"/>
      <c r="D2" s="18"/>
      <c r="E2" s="18"/>
      <c r="F2" s="18"/>
      <c r="H2" s="102">
        <f>LOOKUP(B22,A107:A663,C107:C663)</f>
        <v>14</v>
      </c>
      <c r="I2" s="18"/>
      <c r="J2" s="361" t="s">
        <v>3715</v>
      </c>
      <c r="K2" s="361"/>
    </row>
    <row r="3" spans="1:11" ht="5.0999999999999996" customHeight="1" x14ac:dyDescent="0.2">
      <c r="B3" s="4"/>
      <c r="C3" s="4"/>
      <c r="D3" s="4"/>
      <c r="E3" s="4"/>
      <c r="F3" s="4"/>
      <c r="G3" s="4"/>
      <c r="H3" s="4"/>
      <c r="I3" s="4"/>
    </row>
    <row r="4" spans="1:11" ht="35.1" customHeight="1" x14ac:dyDescent="0.4">
      <c r="A4" s="390" t="s">
        <v>3518</v>
      </c>
      <c r="B4" s="390"/>
      <c r="C4" s="390"/>
      <c r="D4" s="390"/>
      <c r="E4" s="390"/>
      <c r="F4" s="390"/>
      <c r="G4" s="390"/>
      <c r="H4" s="390"/>
      <c r="I4" s="390"/>
      <c r="J4" s="390"/>
      <c r="K4" s="390"/>
    </row>
    <row r="5" spans="1:11" ht="39.950000000000003" customHeight="1" x14ac:dyDescent="0.2">
      <c r="A5" s="362" t="str">
        <f>IF(AND(K10&lt;&gt;"",K12&lt;&gt;""), "za razdoblje: " &amp; TEXT(K10, "d. mmmm yyyy.") &amp; "   –   " &amp; TEXT(K12, "d. mmmm yyyy."),"za razdoblje od ________________ do ______________")</f>
        <v>za razdoblje: 1. siječanj 2018.   –   31. prosinac 2018.</v>
      </c>
      <c r="B5" s="362"/>
      <c r="C5" s="362"/>
      <c r="D5" s="362"/>
      <c r="E5" s="362"/>
      <c r="F5" s="362"/>
      <c r="G5" s="362"/>
      <c r="H5" s="362"/>
      <c r="I5" s="362"/>
      <c r="J5" s="362"/>
      <c r="K5" s="362"/>
    </row>
    <row r="6" spans="1:11" ht="15" customHeight="1" x14ac:dyDescent="0.2">
      <c r="A6" s="22" t="s">
        <v>3124</v>
      </c>
      <c r="B6" s="26">
        <v>22672</v>
      </c>
      <c r="C6" s="12"/>
      <c r="D6" s="394" t="s">
        <v>3128</v>
      </c>
      <c r="E6" s="395"/>
      <c r="F6" s="15" t="s">
        <v>237</v>
      </c>
      <c r="G6" s="12"/>
      <c r="H6" s="12"/>
      <c r="I6" s="12"/>
      <c r="J6" s="363">
        <f>SUM(Skriveni!G2:G1561)</f>
        <v>136569545.07199991</v>
      </c>
      <c r="K6" s="363"/>
    </row>
    <row r="7" spans="1:11" ht="3" customHeight="1" x14ac:dyDescent="0.2">
      <c r="A7" s="12"/>
      <c r="B7" s="12"/>
      <c r="C7" s="12"/>
      <c r="D7" s="12"/>
      <c r="E7" s="12"/>
      <c r="F7" s="12"/>
      <c r="G7" s="12"/>
      <c r="H7" s="12"/>
      <c r="I7" s="12"/>
      <c r="J7" s="12"/>
      <c r="K7" s="12"/>
    </row>
    <row r="8" spans="1:11" ht="15" customHeight="1" x14ac:dyDescent="0.2">
      <c r="A8" s="22" t="s">
        <v>3125</v>
      </c>
      <c r="B8" s="27">
        <v>1379968</v>
      </c>
      <c r="C8" s="375" t="s">
        <v>860</v>
      </c>
      <c r="D8" s="376"/>
      <c r="E8" s="376"/>
      <c r="F8" s="376"/>
      <c r="G8" s="376"/>
      <c r="H8" s="377"/>
      <c r="I8" s="167" t="s">
        <v>867</v>
      </c>
      <c r="J8" s="364" t="s">
        <v>3132</v>
      </c>
      <c r="K8" s="364"/>
    </row>
    <row r="9" spans="1:11" ht="3" customHeight="1" x14ac:dyDescent="0.2">
      <c r="A9" s="12"/>
      <c r="B9" s="12"/>
      <c r="C9" s="12"/>
      <c r="D9" s="12"/>
      <c r="E9" s="12"/>
      <c r="F9" s="12"/>
      <c r="G9" s="12"/>
      <c r="H9" s="12"/>
      <c r="I9" s="12"/>
      <c r="J9" s="12"/>
      <c r="K9" s="12"/>
    </row>
    <row r="10" spans="1:11" ht="15" customHeight="1" x14ac:dyDescent="0.2">
      <c r="A10" s="22" t="s">
        <v>3126</v>
      </c>
      <c r="B10" s="399" t="s">
        <v>4293</v>
      </c>
      <c r="C10" s="400"/>
      <c r="D10" s="400"/>
      <c r="E10" s="400"/>
      <c r="F10" s="400"/>
      <c r="G10" s="400"/>
      <c r="H10" s="400"/>
      <c r="I10" s="401"/>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31300</v>
      </c>
      <c r="C12" s="391" t="s">
        <v>3777</v>
      </c>
      <c r="D12" s="392"/>
      <c r="E12" s="392"/>
      <c r="F12" s="392"/>
      <c r="G12" s="393"/>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51" t="s">
        <v>4294</v>
      </c>
      <c r="C14" s="352"/>
      <c r="D14" s="352"/>
      <c r="E14" s="352"/>
      <c r="F14" s="352"/>
      <c r="G14" s="353"/>
      <c r="H14" s="12"/>
      <c r="I14" s="12"/>
      <c r="J14" s="22" t="s">
        <v>3764</v>
      </c>
      <c r="K14" s="45">
        <v>45569423495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65" t="str">
        <f>IF(B16&gt;0,LOOKUP(B16,A66:A74,B66:B74),"Razina nije upisana")</f>
        <v>Proračunski korisnik jedinice lokalne i područne (regionalne) samouprave koji obavlja poslove u sklopu funkcija koje se decentraliziraju</v>
      </c>
      <c r="D16" s="366"/>
      <c r="E16" s="366"/>
      <c r="F16" s="366"/>
      <c r="G16" s="366"/>
      <c r="H16" s="366"/>
      <c r="I16" s="366"/>
      <c r="J16" s="366"/>
      <c r="K16" s="366"/>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8532</v>
      </c>
      <c r="C18" s="365" t="str">
        <f xml:space="preserve"> IF(B18&gt;0,LOOKUP(B18,Sifre!A255:A869,Sifre!B255:B869),"Djelatnost nije upisana")</f>
        <v>Tehničko i strukovno srednje obrazovanje</v>
      </c>
      <c r="D18" s="366"/>
      <c r="E18" s="366"/>
      <c r="F18" s="366"/>
      <c r="G18" s="366"/>
      <c r="H18" s="366"/>
      <c r="I18" s="366"/>
      <c r="J18" s="366"/>
      <c r="K18" s="366"/>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65" t="str">
        <f>IF(B20&lt;&gt;"","Razdjel: " &amp; LOOKUP(B20,A666:A713,B666:B713),"Razdjel nije upisan")</f>
        <v>Razdjel: NEMA RAZDJELA</v>
      </c>
      <c r="D20" s="366"/>
      <c r="E20" s="366"/>
      <c r="F20" s="366"/>
      <c r="G20" s="366"/>
      <c r="H20" s="366"/>
      <c r="I20" s="366"/>
      <c r="J20" s="366"/>
      <c r="K20" s="366"/>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v>
      </c>
      <c r="C22" s="365" t="str">
        <f>IF(B22&gt;0, "Županija: " &amp; LOOKUP(H2,A83:A103,B83:B103) &amp; ", grad/općina: " &amp; LOOKUP(B22,A107:A663,B107:B663),"Šifra grada/općine nije upisana")</f>
        <v>Županija: OSIJEČKO-BARANJSKA, grad/općina: BELI MANASTIR</v>
      </c>
      <c r="D22" s="366"/>
      <c r="E22" s="366"/>
      <c r="F22" s="366"/>
      <c r="G22" s="366"/>
      <c r="H22" s="366"/>
      <c r="I22" s="366"/>
      <c r="J22" s="366"/>
      <c r="K22" s="366"/>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8" t="s">
        <v>1978</v>
      </c>
      <c r="E24" s="409"/>
      <c r="F24" s="409"/>
      <c r="G24" s="12"/>
      <c r="H24" s="12"/>
      <c r="I24" s="12"/>
      <c r="J24" s="12"/>
      <c r="K24" s="12"/>
    </row>
    <row r="25" spans="1:11" ht="15" customHeight="1" x14ac:dyDescent="0.2">
      <c r="A25" s="387" t="s">
        <v>1462</v>
      </c>
      <c r="B25" s="39" t="str">
        <f>IF(SUM(Skriveni!C2:F642)=0,"NE", "DA")</f>
        <v>DA</v>
      </c>
      <c r="C25" s="357" t="s">
        <v>818</v>
      </c>
      <c r="D25" s="378"/>
      <c r="E25" s="82" t="str">
        <f>IF(AND(B25="DA",Kont!E23&gt;0),Kont!E23,"Nema")</f>
        <v>Nema</v>
      </c>
      <c r="F25" s="12"/>
      <c r="G25" s="22" t="s">
        <v>3680</v>
      </c>
      <c r="H25" s="370" t="s">
        <v>4295</v>
      </c>
      <c r="I25" s="407"/>
      <c r="J25" s="407"/>
      <c r="K25" s="371"/>
    </row>
    <row r="26" spans="1:11" ht="3" customHeight="1" x14ac:dyDescent="0.2">
      <c r="A26" s="388"/>
      <c r="B26" s="32"/>
      <c r="C26" s="33"/>
      <c r="D26" s="34"/>
      <c r="E26" s="35"/>
      <c r="G26" s="13"/>
      <c r="H26" s="12"/>
      <c r="I26" s="12"/>
      <c r="J26" s="12"/>
      <c r="K26" s="12"/>
    </row>
    <row r="27" spans="1:11" ht="15" customHeight="1" x14ac:dyDescent="0.2">
      <c r="A27" s="388"/>
      <c r="B27" s="39" t="str">
        <f>IF(SUM(Skriveni!C977:D1225)&lt;&gt;0,"DA","NE")</f>
        <v>DA</v>
      </c>
      <c r="C27" s="357" t="s">
        <v>2601</v>
      </c>
      <c r="D27" s="358"/>
      <c r="E27" s="82" t="str">
        <f>IF(AND(B27="DA",Kont!E261&gt;0),Kont!E261,"Nema")</f>
        <v>Nema</v>
      </c>
      <c r="F27" s="12"/>
      <c r="G27" s="22" t="s">
        <v>3681</v>
      </c>
      <c r="H27" s="370" t="s">
        <v>4296</v>
      </c>
      <c r="I27" s="371"/>
      <c r="J27" s="13" t="s">
        <v>1447</v>
      </c>
      <c r="K27" s="15" t="s">
        <v>4297</v>
      </c>
    </row>
    <row r="28" spans="1:11" ht="3" customHeight="1" x14ac:dyDescent="0.2">
      <c r="A28" s="388"/>
      <c r="F28" s="12"/>
      <c r="G28" s="12"/>
      <c r="H28" s="12"/>
      <c r="I28" s="12"/>
      <c r="J28" s="12"/>
      <c r="K28" s="12"/>
    </row>
    <row r="29" spans="1:11" ht="15" customHeight="1" x14ac:dyDescent="0.2">
      <c r="A29" s="388"/>
      <c r="B29" s="39" t="str">
        <f>IF(SUM(Skriveni!C1287:D1422)&lt;&gt;0,"DA","NE")</f>
        <v>DA</v>
      </c>
      <c r="C29" s="379" t="s">
        <v>819</v>
      </c>
      <c r="D29" s="380"/>
      <c r="E29" s="82" t="str">
        <f>IF(AND(B29="DA",Kont!E297&gt;0),Kont!E297,"Nema")</f>
        <v>Nema</v>
      </c>
      <c r="F29" s="12"/>
      <c r="G29" s="22" t="s">
        <v>1448</v>
      </c>
      <c r="H29" s="354" t="s">
        <v>4298</v>
      </c>
      <c r="I29" s="355"/>
      <c r="J29" s="355"/>
      <c r="K29" s="356"/>
    </row>
    <row r="30" spans="1:11" ht="3" customHeight="1" x14ac:dyDescent="0.2">
      <c r="A30" s="388"/>
      <c r="B30" s="32"/>
      <c r="C30" s="33"/>
      <c r="D30" s="34"/>
      <c r="E30" s="35"/>
      <c r="F30" s="12"/>
      <c r="G30" s="12"/>
      <c r="H30" s="12"/>
      <c r="I30" s="12"/>
      <c r="J30" s="12"/>
      <c r="K30" s="12"/>
    </row>
    <row r="31" spans="1:11" ht="15" customHeight="1" x14ac:dyDescent="0.2">
      <c r="A31" s="388"/>
      <c r="B31" s="183" t="s">
        <v>4301</v>
      </c>
      <c r="C31" s="357" t="s">
        <v>1591</v>
      </c>
      <c r="D31" s="358"/>
      <c r="E31" s="82" t="str">
        <f>IF(Kont!E292&gt;0,Kont!E292,"Nema")</f>
        <v>Nema</v>
      </c>
      <c r="F31" s="12"/>
      <c r="G31" s="13" t="s">
        <v>1449</v>
      </c>
      <c r="H31" s="354" t="s">
        <v>4299</v>
      </c>
      <c r="I31" s="355"/>
      <c r="J31" s="355"/>
      <c r="K31" s="356"/>
    </row>
    <row r="32" spans="1:11" ht="3" customHeight="1" x14ac:dyDescent="0.2">
      <c r="A32" s="388"/>
      <c r="B32" s="32"/>
      <c r="C32" s="33"/>
      <c r="D32" s="34"/>
      <c r="E32" s="35"/>
      <c r="F32" s="12"/>
      <c r="G32" s="12"/>
      <c r="H32" s="12"/>
      <c r="I32" s="12"/>
      <c r="J32" s="12"/>
      <c r="K32" s="12"/>
    </row>
    <row r="33" spans="1:11" ht="15" customHeight="1" x14ac:dyDescent="0.2">
      <c r="A33" s="389"/>
      <c r="B33" s="39" t="str">
        <f>IF(SUM(Skriveni!C1468:C1550)&lt;&gt;0,"DA","NE")</f>
        <v>DA</v>
      </c>
      <c r="C33" s="373" t="s">
        <v>1210</v>
      </c>
      <c r="D33" s="374"/>
      <c r="E33" s="82" t="str">
        <f>IF(AND(B33="DA",Kont!E288&gt;0),Kont!E288,"Nema")</f>
        <v>Nema</v>
      </c>
      <c r="F33" s="12"/>
      <c r="G33" s="22" t="s">
        <v>735</v>
      </c>
      <c r="H33" s="351" t="s">
        <v>4300</v>
      </c>
      <c r="I33" s="352"/>
      <c r="J33" s="352"/>
      <c r="K33" s="353"/>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81" t="str">
        <f>IF(Kont!E3&gt;0,"Izvještaj sadrži pogreške, broj pogrešaka: " &amp; Kont!E3,IF(J6=0,"Izvještaj je prazan","Izvještaj nema pogrešaka"))</f>
        <v>Izvještaj nema pogrešaka</v>
      </c>
      <c r="I35" s="382"/>
      <c r="J35" s="382"/>
      <c r="K35" s="38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2" t="s">
        <v>2060</v>
      </c>
      <c r="C38" s="372"/>
      <c r="D38" s="372"/>
      <c r="E38" s="372"/>
      <c r="F38" s="372"/>
      <c r="G38" s="372"/>
      <c r="H38" s="372"/>
      <c r="I38" s="109" t="s">
        <v>1683</v>
      </c>
      <c r="J38" s="110" t="s">
        <v>1685</v>
      </c>
      <c r="K38" s="111" t="s">
        <v>1684</v>
      </c>
    </row>
    <row r="39" spans="1:11" ht="12.95" customHeight="1" x14ac:dyDescent="0.2">
      <c r="A39" s="384" t="s">
        <v>3714</v>
      </c>
      <c r="B39" s="405" t="str">
        <f>PRRAS!B12</f>
        <v xml:space="preserve">PRIHODI POSLOVANJA (AOP 002+039+045+074+105+123+130+136) </v>
      </c>
      <c r="C39" s="405"/>
      <c r="D39" s="405"/>
      <c r="E39" s="405"/>
      <c r="F39" s="405"/>
      <c r="G39" s="405"/>
      <c r="H39" s="405"/>
      <c r="I39" s="112">
        <f>PRRAS!C12</f>
        <v>1</v>
      </c>
      <c r="J39" s="113">
        <f>PRRAS!D12</f>
        <v>7243175</v>
      </c>
      <c r="K39" s="114">
        <f>PRRAS!E12</f>
        <v>7505512</v>
      </c>
    </row>
    <row r="40" spans="1:11" ht="12.95" customHeight="1" x14ac:dyDescent="0.2">
      <c r="A40" s="385"/>
      <c r="B40" s="369" t="str">
        <f>PRRAS!B159</f>
        <v xml:space="preserve">RASHODI POSLOVANJA (AOP 149+160+193+212+221+246+257) </v>
      </c>
      <c r="C40" s="402"/>
      <c r="D40" s="402"/>
      <c r="E40" s="402"/>
      <c r="F40" s="402"/>
      <c r="G40" s="402"/>
      <c r="H40" s="402"/>
      <c r="I40" s="115">
        <f>PRRAS!C159</f>
        <v>148</v>
      </c>
      <c r="J40" s="116">
        <f>PRRAS!D159</f>
        <v>7116719</v>
      </c>
      <c r="K40" s="117">
        <f>PRRAS!E159</f>
        <v>7470037</v>
      </c>
    </row>
    <row r="41" spans="1:11" ht="12.95" customHeight="1" x14ac:dyDescent="0.2">
      <c r="A41" s="385"/>
      <c r="B41" s="369" t="str">
        <f>PRRAS!B648</f>
        <v>Višak prihoda i primitaka raspoloživ u sljedećem razdoblju (AOP 631+633-632-634)</v>
      </c>
      <c r="C41" s="402"/>
      <c r="D41" s="402"/>
      <c r="E41" s="402"/>
      <c r="F41" s="402"/>
      <c r="G41" s="402"/>
      <c r="H41" s="402"/>
      <c r="I41" s="115">
        <f>PRRAS!C648</f>
        <v>635</v>
      </c>
      <c r="J41" s="116">
        <f>PRRAS!D648</f>
        <v>0</v>
      </c>
      <c r="K41" s="117">
        <f>PRRAS!E648</f>
        <v>0</v>
      </c>
    </row>
    <row r="42" spans="1:11" ht="12.95" customHeight="1" x14ac:dyDescent="0.2">
      <c r="A42" s="386"/>
      <c r="B42" s="403" t="str">
        <f>PRRAS!B649</f>
        <v>Manjak prihoda i primitaka za pokriće u sljedećem razdoblju (AOP 632+634-631-633)</v>
      </c>
      <c r="C42" s="404"/>
      <c r="D42" s="404"/>
      <c r="E42" s="404"/>
      <c r="F42" s="404"/>
      <c r="G42" s="404"/>
      <c r="H42" s="404"/>
      <c r="I42" s="118">
        <f>PRRAS!C649</f>
        <v>636</v>
      </c>
      <c r="J42" s="119">
        <f>PRRAS!D649</f>
        <v>55544</v>
      </c>
      <c r="K42" s="120">
        <f>PRRAS!E649</f>
        <v>36184</v>
      </c>
    </row>
    <row r="43" spans="1:11" ht="12.95" customHeight="1" x14ac:dyDescent="0.2">
      <c r="A43" s="384" t="s">
        <v>2272</v>
      </c>
      <c r="B43" s="405" t="str">
        <f>Bil!B13</f>
        <v>Nefinancijska imovina (AOP 003+007+046+047+051+058)</v>
      </c>
      <c r="C43" s="406"/>
      <c r="D43" s="406"/>
      <c r="E43" s="406"/>
      <c r="F43" s="406"/>
      <c r="G43" s="406"/>
      <c r="H43" s="406"/>
      <c r="I43" s="112">
        <f>Bil!C13</f>
        <v>2</v>
      </c>
      <c r="J43" s="113">
        <f>Bil!D13</f>
        <v>2685548</v>
      </c>
      <c r="K43" s="114">
        <f>Bil!E13</f>
        <v>2559095</v>
      </c>
    </row>
    <row r="44" spans="1:11" ht="12.95" customHeight="1" x14ac:dyDescent="0.2">
      <c r="A44" s="385"/>
      <c r="B44" s="369" t="str">
        <f>Bil!B74</f>
        <v>Financijska imovina (AOP 064+073+081+112+128+140+157+158)</v>
      </c>
      <c r="C44" s="402"/>
      <c r="D44" s="402"/>
      <c r="E44" s="402"/>
      <c r="F44" s="402"/>
      <c r="G44" s="402"/>
      <c r="H44" s="402"/>
      <c r="I44" s="115">
        <f>Bil!C74</f>
        <v>63</v>
      </c>
      <c r="J44" s="116">
        <f>Bil!D74</f>
        <v>545017</v>
      </c>
      <c r="K44" s="117">
        <f>Bil!E74</f>
        <v>568001</v>
      </c>
    </row>
    <row r="45" spans="1:11" ht="12.95" customHeight="1" x14ac:dyDescent="0.2">
      <c r="A45" s="385"/>
      <c r="B45" s="369" t="str">
        <f>Bil!B174</f>
        <v xml:space="preserve">Obveze (AOP 164+175+176+192+220) </v>
      </c>
      <c r="C45" s="402"/>
      <c r="D45" s="402"/>
      <c r="E45" s="402"/>
      <c r="F45" s="402"/>
      <c r="G45" s="402"/>
      <c r="H45" s="402"/>
      <c r="I45" s="115">
        <f>Bil!C174</f>
        <v>163</v>
      </c>
      <c r="J45" s="116">
        <f>Bil!D174</f>
        <v>598434</v>
      </c>
      <c r="K45" s="117">
        <f>Bil!E174</f>
        <v>603027</v>
      </c>
    </row>
    <row r="46" spans="1:11" ht="12.95" customHeight="1" x14ac:dyDescent="0.2">
      <c r="A46" s="386"/>
      <c r="B46" s="403" t="str">
        <f>Bil!B234</f>
        <v>Vlastiti izvori (224 + 232 - 236 + 240 do 242)</v>
      </c>
      <c r="C46" s="404"/>
      <c r="D46" s="404"/>
      <c r="E46" s="404"/>
      <c r="F46" s="404"/>
      <c r="G46" s="404"/>
      <c r="H46" s="404"/>
      <c r="I46" s="118">
        <f>Bil!C234</f>
        <v>223</v>
      </c>
      <c r="J46" s="119">
        <f>Bil!D234</f>
        <v>2632131</v>
      </c>
      <c r="K46" s="120">
        <f>Bil!E234</f>
        <v>2524069</v>
      </c>
    </row>
    <row r="47" spans="1:11" ht="12.95" customHeight="1" x14ac:dyDescent="0.2">
      <c r="A47" s="384" t="s">
        <v>2270</v>
      </c>
      <c r="B47" s="405" t="str">
        <f>RasF!B12</f>
        <v>Opće javne usluge (AOP 002+006+009+013 do 017)</v>
      </c>
      <c r="C47" s="405"/>
      <c r="D47" s="405"/>
      <c r="E47" s="405"/>
      <c r="F47" s="405"/>
      <c r="G47" s="405"/>
      <c r="H47" s="405"/>
      <c r="I47" s="112">
        <f>RasF!C12</f>
        <v>1</v>
      </c>
      <c r="J47" s="113">
        <f>RasF!D12</f>
        <v>0</v>
      </c>
      <c r="K47" s="114">
        <f>RasF!E12</f>
        <v>0</v>
      </c>
    </row>
    <row r="48" spans="1:11" ht="12.95" customHeight="1" x14ac:dyDescent="0.2">
      <c r="A48" s="385"/>
      <c r="B48" s="369" t="str">
        <f>RasF!B42</f>
        <v>Ekonomski poslovi (AOP 032+035+039+046+050+056+057+062+070)</v>
      </c>
      <c r="C48" s="369"/>
      <c r="D48" s="369"/>
      <c r="E48" s="369"/>
      <c r="F48" s="369"/>
      <c r="G48" s="369"/>
      <c r="H48" s="369"/>
      <c r="I48" s="115">
        <f>RasF!C42</f>
        <v>31</v>
      </c>
      <c r="J48" s="116">
        <f>RasF!D42</f>
        <v>0</v>
      </c>
      <c r="K48" s="117">
        <f>RasF!E42</f>
        <v>0</v>
      </c>
    </row>
    <row r="49" spans="1:11" ht="12.95" customHeight="1" x14ac:dyDescent="0.2">
      <c r="A49" s="385"/>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5" customHeight="1" x14ac:dyDescent="0.2">
      <c r="A50" s="385"/>
      <c r="B50" s="369" t="str">
        <f>RasF!B121</f>
        <v>Obrazovanje (AOP 111+114+117+118+121 do 124)</v>
      </c>
      <c r="C50" s="369"/>
      <c r="D50" s="369"/>
      <c r="E50" s="369"/>
      <c r="F50" s="369"/>
      <c r="G50" s="369"/>
      <c r="H50" s="369"/>
      <c r="I50" s="115">
        <f>RasF!C121</f>
        <v>110</v>
      </c>
      <c r="J50" s="116">
        <f>RasF!D121</f>
        <v>7246140</v>
      </c>
      <c r="K50" s="117">
        <f>RasF!E121</f>
        <v>7486152</v>
      </c>
    </row>
    <row r="51" spans="1:11" ht="12.95" customHeight="1" x14ac:dyDescent="0.2">
      <c r="A51" s="386"/>
      <c r="B51" s="403" t="str">
        <f>RasF!B148</f>
        <v>Kontrolni zbroj (AOP 001+018+024+031+071+078+085+103+110+125)</v>
      </c>
      <c r="C51" s="403"/>
      <c r="D51" s="403"/>
      <c r="E51" s="403"/>
      <c r="F51" s="403"/>
      <c r="G51" s="403"/>
      <c r="H51" s="403"/>
      <c r="I51" s="118">
        <f>RasF!C148</f>
        <v>137</v>
      </c>
      <c r="J51" s="119">
        <f>RasF!D148</f>
        <v>7246140</v>
      </c>
      <c r="K51" s="120">
        <f>RasF!E148</f>
        <v>7486152</v>
      </c>
    </row>
    <row r="52" spans="1:11" ht="12.95" customHeight="1" x14ac:dyDescent="0.2">
      <c r="A52" s="384" t="s">
        <v>2271</v>
      </c>
      <c r="B52" s="406" t="str">
        <f>PVRIO!B12</f>
        <v>Promjene u vrijednosti i obujmu imovine (AOP 002+018)</v>
      </c>
      <c r="C52" s="406"/>
      <c r="D52" s="406"/>
      <c r="E52" s="406"/>
      <c r="F52" s="406"/>
      <c r="G52" s="406"/>
      <c r="H52" s="406"/>
      <c r="I52" s="112">
        <f>PVRIO!C12</f>
        <v>1</v>
      </c>
      <c r="J52" s="113">
        <f>PVRIO!D12</f>
        <v>0</v>
      </c>
      <c r="K52" s="114">
        <f>PVRIO!E12</f>
        <v>59682</v>
      </c>
    </row>
    <row r="53" spans="1:11" ht="12.95" customHeight="1" x14ac:dyDescent="0.2">
      <c r="A53" s="385"/>
      <c r="B53" s="402" t="str">
        <f>PVRIO!B29</f>
        <v>Promjene u obujmu imovine (AOP 019+026)</v>
      </c>
      <c r="C53" s="402"/>
      <c r="D53" s="402"/>
      <c r="E53" s="402"/>
      <c r="F53" s="402"/>
      <c r="G53" s="402"/>
      <c r="H53" s="402"/>
      <c r="I53" s="115">
        <f>PVRIO!C29</f>
        <v>18</v>
      </c>
      <c r="J53" s="116">
        <f>PVRIO!D29</f>
        <v>0</v>
      </c>
      <c r="K53" s="117">
        <f>PVRIO!E29</f>
        <v>59682</v>
      </c>
    </row>
    <row r="54" spans="1:11" ht="12.95" customHeight="1" x14ac:dyDescent="0.2">
      <c r="A54" s="385"/>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5" customHeight="1" x14ac:dyDescent="0.2">
      <c r="A55" s="386"/>
      <c r="B55" s="404" t="str">
        <f>PVRIO!B51</f>
        <v>Promjene u obujmu obveza (AOP 041 do 044)</v>
      </c>
      <c r="C55" s="404"/>
      <c r="D55" s="404"/>
      <c r="E55" s="404"/>
      <c r="F55" s="404"/>
      <c r="G55" s="404"/>
      <c r="H55" s="404"/>
      <c r="I55" s="118">
        <f>PVRIO!C51</f>
        <v>40</v>
      </c>
      <c r="J55" s="119">
        <f>PVRIO!D51</f>
        <v>0</v>
      </c>
      <c r="K55" s="120">
        <f>PVRIO!E51</f>
        <v>0</v>
      </c>
    </row>
    <row r="56" spans="1:11" ht="12.95" customHeight="1" x14ac:dyDescent="0.2">
      <c r="A56" s="384" t="s">
        <v>2273</v>
      </c>
      <c r="B56" s="406" t="str">
        <f>Obv!B12</f>
        <v>Stanje obveza 1. siječnja (=AOP 036* iz Izvještaja o obvezama za prethodnu godinu)</v>
      </c>
      <c r="C56" s="406"/>
      <c r="D56" s="406"/>
      <c r="E56" s="406"/>
      <c r="F56" s="406"/>
      <c r="G56" s="406"/>
      <c r="H56" s="406"/>
      <c r="I56" s="112">
        <f>Obv!C12</f>
        <v>1</v>
      </c>
      <c r="J56" s="113" t="s">
        <v>3568</v>
      </c>
      <c r="K56" s="114">
        <f>Obv!D12</f>
        <v>598434</v>
      </c>
    </row>
    <row r="57" spans="1:11" ht="12.95" customHeight="1" x14ac:dyDescent="0.2">
      <c r="A57" s="385"/>
      <c r="B57" s="369" t="str">
        <f>Obv!B47</f>
        <v>Stanje obveza na kraju izvještajnog razdoblja (AOP 001+002-019) i (AOP 037+090)</v>
      </c>
      <c r="C57" s="369"/>
      <c r="D57" s="369"/>
      <c r="E57" s="369"/>
      <c r="F57" s="369"/>
      <c r="G57" s="369"/>
      <c r="H57" s="369"/>
      <c r="I57" s="115">
        <f>Obv!C47</f>
        <v>36</v>
      </c>
      <c r="J57" s="116" t="s">
        <v>3568</v>
      </c>
      <c r="K57" s="117">
        <f>Obv!D47</f>
        <v>603027</v>
      </c>
    </row>
    <row r="58" spans="1:11" ht="12.95" customHeight="1" x14ac:dyDescent="0.2">
      <c r="A58" s="385"/>
      <c r="B58" s="369" t="str">
        <f>Obv!B48</f>
        <v>Stanje dospjelih obveza na kraju izvještajnog razdoblja (AOP 038+043+079+084)</v>
      </c>
      <c r="C58" s="369"/>
      <c r="D58" s="369"/>
      <c r="E58" s="369"/>
      <c r="F58" s="369"/>
      <c r="G58" s="369"/>
      <c r="H58" s="369"/>
      <c r="I58" s="115">
        <f>Obv!C48</f>
        <v>37</v>
      </c>
      <c r="J58" s="116" t="s">
        <v>3568</v>
      </c>
      <c r="K58" s="117">
        <f>Obv!D48</f>
        <v>68689</v>
      </c>
    </row>
    <row r="59" spans="1:11" ht="12.95" customHeight="1" x14ac:dyDescent="0.2">
      <c r="A59" s="386"/>
      <c r="B59" s="403" t="str">
        <f>Obv!B101</f>
        <v>Stanje nedospjelih obveza na kraju izvještajnog razdoblja (AOP 091 do 094)</v>
      </c>
      <c r="C59" s="403"/>
      <c r="D59" s="403"/>
      <c r="E59" s="403"/>
      <c r="F59" s="403"/>
      <c r="G59" s="403"/>
      <c r="H59" s="403"/>
      <c r="I59" s="118">
        <f>Obv!C101</f>
        <v>90</v>
      </c>
      <c r="J59" s="119" t="s">
        <v>3568</v>
      </c>
      <c r="K59" s="120">
        <f>Obv!D101</f>
        <v>534338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
      <c r="A62" s="19"/>
      <c r="B62" s="19"/>
      <c r="C62" s="19"/>
      <c r="D62" s="19"/>
      <c r="E62" s="19"/>
      <c r="F62" s="19"/>
      <c r="G62" s="20"/>
      <c r="H62" s="19"/>
      <c r="I62" s="19"/>
      <c r="J62" s="19"/>
      <c r="K62" s="19"/>
    </row>
    <row r="63" spans="1:11" ht="21.75" customHeight="1" x14ac:dyDescent="0.2">
      <c r="A63" s="396" t="s">
        <v>3716</v>
      </c>
      <c r="B63" s="396"/>
      <c r="C63" s="396"/>
      <c r="D63" s="396"/>
      <c r="E63" s="16"/>
      <c r="F63" s="21"/>
      <c r="G63" s="16"/>
      <c r="H63" s="397" t="s">
        <v>3135</v>
      </c>
      <c r="I63" s="398"/>
      <c r="J63" s="398"/>
      <c r="K63" s="398"/>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B53:H53"/>
    <mergeCell ref="B52:H52"/>
    <mergeCell ref="B51:H51"/>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5:D25"/>
    <mergeCell ref="C29:D29"/>
    <mergeCell ref="H35:K35"/>
    <mergeCell ref="A39:A42"/>
    <mergeCell ref="A47:A51"/>
    <mergeCell ref="A25:A33"/>
    <mergeCell ref="B50:H50"/>
    <mergeCell ref="H27:I27"/>
    <mergeCell ref="B38:H38"/>
    <mergeCell ref="H31:K31"/>
    <mergeCell ref="C33:D33"/>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74" activePane="bottomLeft" state="frozen"/>
      <selection pane="bottomLeft" activeCell="C709" sqref="C70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22672</v>
      </c>
      <c r="C4" s="414"/>
      <c r="D4" s="414"/>
      <c r="E4" s="415">
        <f>SUM(Skriveni!G2:G976)</f>
        <v>111889173.43799999</v>
      </c>
      <c r="F4" s="416"/>
    </row>
    <row r="5" spans="1:7" s="23" customFormat="1" ht="15" customHeight="1" x14ac:dyDescent="0.2">
      <c r="B5" s="413" t="str">
        <f>"Naziv: "&amp;IF(RefStr!B10&lt;&gt;"",RefStr!B10,"_______________________________________")</f>
        <v>Naziv: DRUGA SREDNJA ŠKOLA BELI MANASTIR</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8532 Tehničko i strukovno srednje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7243175</v>
      </c>
      <c r="E12" s="147">
        <f>E13+E50+E56+E85+E116+E134+E141+E147</f>
        <v>7505512</v>
      </c>
      <c r="F12" s="148">
        <f>IF(D12&lt;&gt;0,IF(E12/D12&gt;=100,"&gt;&gt;100",E12/D12*100),"-")</f>
        <v>103.62185091482672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6296607</v>
      </c>
      <c r="E56" s="147">
        <f>E57+E60+E65+E68+E71+E74+E77+E80</f>
        <v>6537528</v>
      </c>
      <c r="F56" s="150">
        <f t="shared" si="0"/>
        <v>103.82620354104996</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7314</v>
      </c>
      <c r="F68" s="150">
        <f t="shared" si="0"/>
        <v>103.62708982714651</v>
      </c>
    </row>
    <row r="69" spans="1:6" s="8" customFormat="1" x14ac:dyDescent="0.2">
      <c r="A69" s="145">
        <v>6341</v>
      </c>
      <c r="B69" s="146" t="s">
        <v>3699</v>
      </c>
      <c r="C69" s="345">
        <v>58</v>
      </c>
      <c r="D69" s="149">
        <v>7058</v>
      </c>
      <c r="E69" s="149">
        <v>7314</v>
      </c>
      <c r="F69" s="148">
        <f t="shared" si="0"/>
        <v>103.62708982714651</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6289549</v>
      </c>
      <c r="E74" s="147">
        <f>SUM(E75:E76)</f>
        <v>6522328</v>
      </c>
      <c r="F74" s="150">
        <f t="shared" si="0"/>
        <v>103.70104438330952</v>
      </c>
    </row>
    <row r="75" spans="1:6" s="8" customFormat="1" x14ac:dyDescent="0.2">
      <c r="A75" s="145" t="s">
        <v>1142</v>
      </c>
      <c r="B75" s="146" t="s">
        <v>3980</v>
      </c>
      <c r="C75" s="345">
        <v>64</v>
      </c>
      <c r="D75" s="149">
        <v>6264015</v>
      </c>
      <c r="E75" s="149">
        <v>6522328</v>
      </c>
      <c r="F75" s="148">
        <f t="shared" si="0"/>
        <v>104.12376087860582</v>
      </c>
    </row>
    <row r="76" spans="1:6" s="8" customFormat="1" x14ac:dyDescent="0.2">
      <c r="A76" s="145" t="s">
        <v>3981</v>
      </c>
      <c r="B76" s="146" t="s">
        <v>3982</v>
      </c>
      <c r="C76" s="345">
        <v>65</v>
      </c>
      <c r="D76" s="149">
        <v>25534</v>
      </c>
      <c r="E76" s="149"/>
      <c r="F76" s="148">
        <f t="shared" si="0"/>
        <v>0</v>
      </c>
    </row>
    <row r="77" spans="1:6" s="8" customFormat="1" x14ac:dyDescent="0.2">
      <c r="A77" s="145" t="s">
        <v>3983</v>
      </c>
      <c r="B77" s="146" t="s">
        <v>919</v>
      </c>
      <c r="C77" s="345">
        <v>66</v>
      </c>
      <c r="D77" s="147">
        <f>SUM(D78:D79)</f>
        <v>0</v>
      </c>
      <c r="E77" s="147">
        <f>SUM(E78:E79)</f>
        <v>7886</v>
      </c>
      <c r="F77" s="150" t="str">
        <f t="shared" si="0"/>
        <v>-</v>
      </c>
    </row>
    <row r="78" spans="1:6" s="8" customFormat="1" x14ac:dyDescent="0.2">
      <c r="A78" s="145" t="s">
        <v>3984</v>
      </c>
      <c r="B78" s="146" t="s">
        <v>920</v>
      </c>
      <c r="C78" s="345">
        <v>67</v>
      </c>
      <c r="D78" s="149"/>
      <c r="E78" s="149">
        <v>7886</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22275</v>
      </c>
      <c r="E116" s="147">
        <f>E117+E122+E130</f>
        <v>18740</v>
      </c>
      <c r="F116" s="150">
        <f t="shared" si="1"/>
        <v>84.130190796857462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22275</v>
      </c>
      <c r="E122" s="147">
        <f>SUM(E123:E129)</f>
        <v>18740</v>
      </c>
      <c r="F122" s="150">
        <f t="shared" si="1"/>
        <v>84.130190796857462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22275</v>
      </c>
      <c r="E127" s="149">
        <v>18740</v>
      </c>
      <c r="F127" s="148">
        <f t="shared" si="1"/>
        <v>84.130190796857462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29324</v>
      </c>
      <c r="E134" s="147">
        <f>E135+E138</f>
        <v>28670</v>
      </c>
      <c r="F134" s="150">
        <f t="shared" si="1"/>
        <v>97.769744918837802</v>
      </c>
    </row>
    <row r="135" spans="1:6" s="8" customFormat="1" x14ac:dyDescent="0.2">
      <c r="A135" s="145">
        <v>661</v>
      </c>
      <c r="B135" s="146" t="s">
        <v>425</v>
      </c>
      <c r="C135" s="345">
        <v>124</v>
      </c>
      <c r="D135" s="147">
        <f>SUM(D136:D137)</f>
        <v>29068</v>
      </c>
      <c r="E135" s="147">
        <f>SUM(E136:E137)</f>
        <v>20550</v>
      </c>
      <c r="F135" s="150">
        <f t="shared" si="1"/>
        <v>70.696298334938774</v>
      </c>
    </row>
    <row r="136" spans="1:6" s="8" customFormat="1" x14ac:dyDescent="0.2">
      <c r="A136" s="145">
        <v>6614</v>
      </c>
      <c r="B136" s="146" t="s">
        <v>3893</v>
      </c>
      <c r="C136" s="345">
        <v>125</v>
      </c>
      <c r="D136" s="149">
        <v>1895</v>
      </c>
      <c r="E136" s="149"/>
      <c r="F136" s="148">
        <f t="shared" si="1"/>
        <v>0</v>
      </c>
    </row>
    <row r="137" spans="1:6" s="8" customFormat="1" x14ac:dyDescent="0.2">
      <c r="A137" s="145">
        <v>6615</v>
      </c>
      <c r="B137" s="146" t="s">
        <v>3894</v>
      </c>
      <c r="C137" s="345">
        <v>126</v>
      </c>
      <c r="D137" s="149">
        <v>27173</v>
      </c>
      <c r="E137" s="149">
        <v>20550</v>
      </c>
      <c r="F137" s="148">
        <f t="shared" si="1"/>
        <v>75.626541051779341</v>
      </c>
    </row>
    <row r="138" spans="1:6" s="8" customFormat="1" x14ac:dyDescent="0.2">
      <c r="A138" s="145">
        <v>663</v>
      </c>
      <c r="B138" s="151" t="s">
        <v>426</v>
      </c>
      <c r="C138" s="345">
        <v>127</v>
      </c>
      <c r="D138" s="147">
        <f>SUM(D139:D140)</f>
        <v>256</v>
      </c>
      <c r="E138" s="147">
        <f>SUM(E139:E140)</f>
        <v>8120</v>
      </c>
      <c r="F138" s="150">
        <f t="shared" si="1"/>
        <v>3171.875</v>
      </c>
    </row>
    <row r="139" spans="1:6" s="8" customFormat="1" x14ac:dyDescent="0.2">
      <c r="A139" s="145">
        <v>6631</v>
      </c>
      <c r="B139" s="146" t="s">
        <v>1502</v>
      </c>
      <c r="C139" s="345">
        <v>128</v>
      </c>
      <c r="D139" s="149">
        <v>256</v>
      </c>
      <c r="E139" s="149">
        <v>8120</v>
      </c>
      <c r="F139" s="148">
        <f t="shared" si="1"/>
        <v>3171.875</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894969</v>
      </c>
      <c r="E141" s="147">
        <f>E142+E146</f>
        <v>920574</v>
      </c>
      <c r="F141" s="150">
        <f t="shared" si="1"/>
        <v>102.86099295059381</v>
      </c>
    </row>
    <row r="142" spans="1:6" s="8" customFormat="1" ht="24" x14ac:dyDescent="0.2">
      <c r="A142" s="145">
        <v>671</v>
      </c>
      <c r="B142" s="154" t="s">
        <v>1672</v>
      </c>
      <c r="C142" s="345">
        <v>131</v>
      </c>
      <c r="D142" s="147">
        <f>SUM(D143:D145)</f>
        <v>894969</v>
      </c>
      <c r="E142" s="147">
        <f>SUM(E143:E145)</f>
        <v>920574</v>
      </c>
      <c r="F142" s="150">
        <f t="shared" ref="F142:F205" si="2">IF(D142&lt;&gt;0,IF(E142/D142&gt;=100,"&gt;&gt;100",E142/D142*100),"-")</f>
        <v>102.86099295059381</v>
      </c>
    </row>
    <row r="143" spans="1:6" s="8" customFormat="1" x14ac:dyDescent="0.2">
      <c r="A143" s="145">
        <v>6711</v>
      </c>
      <c r="B143" s="146" t="s">
        <v>3582</v>
      </c>
      <c r="C143" s="345">
        <v>132</v>
      </c>
      <c r="D143" s="149">
        <v>807033</v>
      </c>
      <c r="E143" s="149">
        <v>904479</v>
      </c>
      <c r="F143" s="148">
        <f t="shared" si="2"/>
        <v>112.07459917995919</v>
      </c>
    </row>
    <row r="144" spans="1:6" s="8" customFormat="1" x14ac:dyDescent="0.2">
      <c r="A144" s="145">
        <v>6712</v>
      </c>
      <c r="B144" s="151" t="s">
        <v>2276</v>
      </c>
      <c r="C144" s="345">
        <v>133</v>
      </c>
      <c r="D144" s="149">
        <v>87936</v>
      </c>
      <c r="E144" s="149">
        <v>16095</v>
      </c>
      <c r="F144" s="148">
        <f t="shared" si="2"/>
        <v>18.303084061135372</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7116719</v>
      </c>
      <c r="E159" s="147">
        <f>E160+E171+E204+E223+E232+E257+E268</f>
        <v>7470037</v>
      </c>
      <c r="F159" s="150">
        <f t="shared" si="2"/>
        <v>104.96461922973212</v>
      </c>
    </row>
    <row r="160" spans="1:6" s="8" customFormat="1" x14ac:dyDescent="0.2">
      <c r="A160" s="145">
        <v>31</v>
      </c>
      <c r="B160" s="146" t="s">
        <v>431</v>
      </c>
      <c r="C160" s="345">
        <v>149</v>
      </c>
      <c r="D160" s="147">
        <f>D161+D166+D167</f>
        <v>6244259</v>
      </c>
      <c r="E160" s="147">
        <f>E161+E166+E167</f>
        <v>6528895</v>
      </c>
      <c r="F160" s="150">
        <f t="shared" si="2"/>
        <v>104.55836313003672</v>
      </c>
    </row>
    <row r="161" spans="1:6" s="8" customFormat="1" x14ac:dyDescent="0.2">
      <c r="A161" s="145">
        <v>311</v>
      </c>
      <c r="B161" s="146" t="s">
        <v>432</v>
      </c>
      <c r="C161" s="345">
        <v>150</v>
      </c>
      <c r="D161" s="147">
        <f>SUM(D162:D165)</f>
        <v>5147391</v>
      </c>
      <c r="E161" s="147">
        <f>SUM(E162:E165)</f>
        <v>5388738</v>
      </c>
      <c r="F161" s="150">
        <f t="shared" si="2"/>
        <v>104.68872483166716</v>
      </c>
    </row>
    <row r="162" spans="1:6" s="8" customFormat="1" x14ac:dyDescent="0.2">
      <c r="A162" s="145">
        <v>3111</v>
      </c>
      <c r="B162" s="146" t="s">
        <v>385</v>
      </c>
      <c r="C162" s="345">
        <v>151</v>
      </c>
      <c r="D162" s="149">
        <v>5092244</v>
      </c>
      <c r="E162" s="149">
        <v>5309575</v>
      </c>
      <c r="F162" s="148">
        <f t="shared" si="2"/>
        <v>104.26788268590428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38657</v>
      </c>
      <c r="E164" s="149">
        <v>41599</v>
      </c>
      <c r="F164" s="148">
        <f t="shared" si="2"/>
        <v>107.61052332048529</v>
      </c>
    </row>
    <row r="165" spans="1:6" s="8" customFormat="1" x14ac:dyDescent="0.2">
      <c r="A165" s="145">
        <v>3114</v>
      </c>
      <c r="B165" s="146" t="s">
        <v>388</v>
      </c>
      <c r="C165" s="345">
        <v>154</v>
      </c>
      <c r="D165" s="149">
        <v>16490</v>
      </c>
      <c r="E165" s="149">
        <v>37564</v>
      </c>
      <c r="F165" s="148">
        <f t="shared" si="2"/>
        <v>227.7986658580958</v>
      </c>
    </row>
    <row r="166" spans="1:6" s="8" customFormat="1" x14ac:dyDescent="0.2">
      <c r="A166" s="145">
        <v>312</v>
      </c>
      <c r="B166" s="146" t="s">
        <v>1597</v>
      </c>
      <c r="C166" s="345">
        <v>155</v>
      </c>
      <c r="D166" s="149">
        <v>205201</v>
      </c>
      <c r="E166" s="149">
        <v>209170</v>
      </c>
      <c r="F166" s="148">
        <f t="shared" si="2"/>
        <v>101.93420110038448</v>
      </c>
    </row>
    <row r="167" spans="1:6" s="8" customFormat="1" x14ac:dyDescent="0.2">
      <c r="A167" s="145">
        <v>313</v>
      </c>
      <c r="B167" s="146" t="s">
        <v>2853</v>
      </c>
      <c r="C167" s="345">
        <v>156</v>
      </c>
      <c r="D167" s="147">
        <f>SUM(D168:D170)</f>
        <v>891667</v>
      </c>
      <c r="E167" s="147">
        <f>SUM(E168:E170)</f>
        <v>930987</v>
      </c>
      <c r="F167" s="150">
        <f t="shared" si="2"/>
        <v>104.40971797767553</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803642</v>
      </c>
      <c r="E169" s="149">
        <v>839039</v>
      </c>
      <c r="F169" s="148">
        <f t="shared" si="2"/>
        <v>104.40457318059535</v>
      </c>
    </row>
    <row r="170" spans="1:6" s="8" customFormat="1" x14ac:dyDescent="0.2">
      <c r="A170" s="145">
        <v>3133</v>
      </c>
      <c r="B170" s="146" t="s">
        <v>264</v>
      </c>
      <c r="C170" s="345">
        <v>159</v>
      </c>
      <c r="D170" s="149">
        <v>88025</v>
      </c>
      <c r="E170" s="149">
        <v>91948</v>
      </c>
      <c r="F170" s="148">
        <f t="shared" si="2"/>
        <v>104.45668844078386</v>
      </c>
    </row>
    <row r="171" spans="1:6" s="8" customFormat="1" x14ac:dyDescent="0.2">
      <c r="A171" s="145">
        <v>32</v>
      </c>
      <c r="B171" s="146" t="s">
        <v>433</v>
      </c>
      <c r="C171" s="345">
        <v>160</v>
      </c>
      <c r="D171" s="147">
        <f>D172+D177+D185+D195+D196</f>
        <v>870691</v>
      </c>
      <c r="E171" s="147">
        <f>E172+E177+E185+E195+E196</f>
        <v>938521</v>
      </c>
      <c r="F171" s="150">
        <f t="shared" si="2"/>
        <v>107.79036420498203</v>
      </c>
    </row>
    <row r="172" spans="1:6" s="8" customFormat="1" x14ac:dyDescent="0.2">
      <c r="A172" s="145">
        <v>321</v>
      </c>
      <c r="B172" s="146" t="s">
        <v>3359</v>
      </c>
      <c r="C172" s="345">
        <v>161</v>
      </c>
      <c r="D172" s="147">
        <f>SUM(D173:D176)</f>
        <v>236851</v>
      </c>
      <c r="E172" s="147">
        <f>SUM(E173:E176)</f>
        <v>340725</v>
      </c>
      <c r="F172" s="150">
        <f t="shared" si="2"/>
        <v>143.85626406474955</v>
      </c>
    </row>
    <row r="173" spans="1:6" s="8" customFormat="1" x14ac:dyDescent="0.2">
      <c r="A173" s="145">
        <v>3211</v>
      </c>
      <c r="B173" s="146" t="s">
        <v>3243</v>
      </c>
      <c r="C173" s="345">
        <v>162</v>
      </c>
      <c r="D173" s="149">
        <v>33717</v>
      </c>
      <c r="E173" s="149">
        <v>47619</v>
      </c>
      <c r="F173" s="148">
        <f t="shared" si="2"/>
        <v>141.23142628347719</v>
      </c>
    </row>
    <row r="174" spans="1:6" s="8" customFormat="1" x14ac:dyDescent="0.2">
      <c r="A174" s="145">
        <v>3212</v>
      </c>
      <c r="B174" s="146" t="s">
        <v>108</v>
      </c>
      <c r="C174" s="345">
        <v>163</v>
      </c>
      <c r="D174" s="149">
        <v>190490</v>
      </c>
      <c r="E174" s="149">
        <v>279373</v>
      </c>
      <c r="F174" s="148">
        <f t="shared" si="2"/>
        <v>146.66019213607012</v>
      </c>
    </row>
    <row r="175" spans="1:6" s="8" customFormat="1" x14ac:dyDescent="0.2">
      <c r="A175" s="145">
        <v>3213</v>
      </c>
      <c r="B175" s="146" t="s">
        <v>2999</v>
      </c>
      <c r="C175" s="345">
        <v>164</v>
      </c>
      <c r="D175" s="149">
        <v>3700</v>
      </c>
      <c r="E175" s="149">
        <v>4148</v>
      </c>
      <c r="F175" s="148">
        <f t="shared" si="2"/>
        <v>112.10810810810811</v>
      </c>
    </row>
    <row r="176" spans="1:6" s="8" customFormat="1" x14ac:dyDescent="0.2">
      <c r="A176" s="145">
        <v>3214</v>
      </c>
      <c r="B176" s="146" t="s">
        <v>2998</v>
      </c>
      <c r="C176" s="345">
        <v>165</v>
      </c>
      <c r="D176" s="149">
        <v>8944</v>
      </c>
      <c r="E176" s="149">
        <v>9585</v>
      </c>
      <c r="F176" s="148">
        <f t="shared" si="2"/>
        <v>107.16681574239715</v>
      </c>
    </row>
    <row r="177" spans="1:6" s="8" customFormat="1" x14ac:dyDescent="0.2">
      <c r="A177" s="145">
        <v>322</v>
      </c>
      <c r="B177" s="146" t="s">
        <v>3360</v>
      </c>
      <c r="C177" s="345">
        <v>166</v>
      </c>
      <c r="D177" s="147">
        <f>SUM(D178:D184)</f>
        <v>448615</v>
      </c>
      <c r="E177" s="147">
        <f>SUM(E178:E184)</f>
        <v>438957</v>
      </c>
      <c r="F177" s="150">
        <f t="shared" si="2"/>
        <v>97.847151789396264</v>
      </c>
    </row>
    <row r="178" spans="1:6" s="8" customFormat="1" x14ac:dyDescent="0.2">
      <c r="A178" s="145">
        <v>3221</v>
      </c>
      <c r="B178" s="146" t="s">
        <v>3000</v>
      </c>
      <c r="C178" s="345">
        <v>167</v>
      </c>
      <c r="D178" s="149">
        <v>49013</v>
      </c>
      <c r="E178" s="149">
        <v>46580</v>
      </c>
      <c r="F178" s="148">
        <f t="shared" si="2"/>
        <v>95.036010854263154</v>
      </c>
    </row>
    <row r="179" spans="1:6" s="8" customFormat="1" x14ac:dyDescent="0.2">
      <c r="A179" s="145">
        <v>3222</v>
      </c>
      <c r="B179" s="146" t="s">
        <v>3001</v>
      </c>
      <c r="C179" s="345">
        <v>168</v>
      </c>
      <c r="D179" s="149">
        <v>61611</v>
      </c>
      <c r="E179" s="149">
        <v>80251</v>
      </c>
      <c r="F179" s="148">
        <f t="shared" si="2"/>
        <v>130.2543376994368</v>
      </c>
    </row>
    <row r="180" spans="1:6" s="8" customFormat="1" x14ac:dyDescent="0.2">
      <c r="A180" s="145">
        <v>3223</v>
      </c>
      <c r="B180" s="146" t="s">
        <v>3002</v>
      </c>
      <c r="C180" s="345">
        <v>169</v>
      </c>
      <c r="D180" s="149">
        <v>316289</v>
      </c>
      <c r="E180" s="149">
        <v>292673</v>
      </c>
      <c r="F180" s="148">
        <f t="shared" si="2"/>
        <v>92.533410899525435</v>
      </c>
    </row>
    <row r="181" spans="1:6" s="8" customFormat="1" x14ac:dyDescent="0.2">
      <c r="A181" s="145">
        <v>3224</v>
      </c>
      <c r="B181" s="146" t="s">
        <v>2236</v>
      </c>
      <c r="C181" s="345">
        <v>170</v>
      </c>
      <c r="D181" s="149">
        <v>8000</v>
      </c>
      <c r="E181" s="149">
        <v>9404</v>
      </c>
      <c r="F181" s="148">
        <f t="shared" si="2"/>
        <v>117.55</v>
      </c>
    </row>
    <row r="182" spans="1:6" s="8" customFormat="1" x14ac:dyDescent="0.2">
      <c r="A182" s="145">
        <v>3225</v>
      </c>
      <c r="B182" s="146" t="s">
        <v>504</v>
      </c>
      <c r="C182" s="345">
        <v>171</v>
      </c>
      <c r="D182" s="149">
        <v>11998</v>
      </c>
      <c r="E182" s="149">
        <v>9489</v>
      </c>
      <c r="F182" s="148">
        <f t="shared" si="2"/>
        <v>79.088181363560594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1704</v>
      </c>
      <c r="E184" s="149">
        <v>560</v>
      </c>
      <c r="F184" s="148">
        <f t="shared" si="2"/>
        <v>32.863849765258216</v>
      </c>
    </row>
    <row r="185" spans="1:6" s="8" customFormat="1" x14ac:dyDescent="0.2">
      <c r="A185" s="145">
        <v>323</v>
      </c>
      <c r="B185" s="146" t="s">
        <v>2312</v>
      </c>
      <c r="C185" s="345">
        <v>174</v>
      </c>
      <c r="D185" s="147">
        <f>SUM(D186:D194)</f>
        <v>106766</v>
      </c>
      <c r="E185" s="147">
        <f>SUM(E186:E194)</f>
        <v>112796</v>
      </c>
      <c r="F185" s="150">
        <f t="shared" si="2"/>
        <v>105.64786542532268</v>
      </c>
    </row>
    <row r="186" spans="1:6" s="8" customFormat="1" x14ac:dyDescent="0.2">
      <c r="A186" s="145">
        <v>3231</v>
      </c>
      <c r="B186" s="146" t="s">
        <v>855</v>
      </c>
      <c r="C186" s="345">
        <v>175</v>
      </c>
      <c r="D186" s="149">
        <v>17000</v>
      </c>
      <c r="E186" s="149">
        <v>16128</v>
      </c>
      <c r="F186" s="148">
        <f t="shared" si="2"/>
        <v>94.870588235294122</v>
      </c>
    </row>
    <row r="187" spans="1:6" s="8" customFormat="1" x14ac:dyDescent="0.2">
      <c r="A187" s="145">
        <v>3232</v>
      </c>
      <c r="B187" s="146" t="s">
        <v>3870</v>
      </c>
      <c r="C187" s="345">
        <v>176</v>
      </c>
      <c r="D187" s="149">
        <v>43008</v>
      </c>
      <c r="E187" s="149">
        <v>60510</v>
      </c>
      <c r="F187" s="148">
        <f t="shared" si="2"/>
        <v>140.69475446428572</v>
      </c>
    </row>
    <row r="188" spans="1:6" s="8" customFormat="1" x14ac:dyDescent="0.2">
      <c r="A188" s="145">
        <v>3233</v>
      </c>
      <c r="B188" s="146" t="s">
        <v>3871</v>
      </c>
      <c r="C188" s="345">
        <v>177</v>
      </c>
      <c r="D188" s="149">
        <v>750</v>
      </c>
      <c r="E188" s="149">
        <v>750</v>
      </c>
      <c r="F188" s="148">
        <f t="shared" si="2"/>
        <v>100</v>
      </c>
    </row>
    <row r="189" spans="1:6" s="8" customFormat="1" x14ac:dyDescent="0.2">
      <c r="A189" s="145">
        <v>3234</v>
      </c>
      <c r="B189" s="146" t="s">
        <v>3872</v>
      </c>
      <c r="C189" s="345">
        <v>178</v>
      </c>
      <c r="D189" s="149">
        <v>14000</v>
      </c>
      <c r="E189" s="149">
        <v>13511</v>
      </c>
      <c r="F189" s="148">
        <f t="shared" si="2"/>
        <v>96.507142857142853</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14121</v>
      </c>
      <c r="E191" s="149">
        <v>10267</v>
      </c>
      <c r="F191" s="148">
        <f t="shared" si="2"/>
        <v>72.707315345938667</v>
      </c>
    </row>
    <row r="192" spans="1:6" s="8" customFormat="1" x14ac:dyDescent="0.2">
      <c r="A192" s="145">
        <v>3237</v>
      </c>
      <c r="B192" s="146" t="s">
        <v>3875</v>
      </c>
      <c r="C192" s="345">
        <v>181</v>
      </c>
      <c r="D192" s="149">
        <v>17387</v>
      </c>
      <c r="E192" s="149">
        <v>9855</v>
      </c>
      <c r="F192" s="148">
        <f t="shared" si="2"/>
        <v>56.680278368896296</v>
      </c>
    </row>
    <row r="193" spans="1:6" s="8" customFormat="1" x14ac:dyDescent="0.2">
      <c r="A193" s="145">
        <v>3238</v>
      </c>
      <c r="B193" s="146" t="s">
        <v>702</v>
      </c>
      <c r="C193" s="345">
        <v>182</v>
      </c>
      <c r="D193" s="149"/>
      <c r="E193" s="149"/>
      <c r="F193" s="148" t="str">
        <f t="shared" si="2"/>
        <v>-</v>
      </c>
    </row>
    <row r="194" spans="1:6" s="8" customFormat="1" x14ac:dyDescent="0.2">
      <c r="A194" s="145">
        <v>3239</v>
      </c>
      <c r="B194" s="146" t="s">
        <v>703</v>
      </c>
      <c r="C194" s="345">
        <v>183</v>
      </c>
      <c r="D194" s="149">
        <v>500</v>
      </c>
      <c r="E194" s="149">
        <v>1775</v>
      </c>
      <c r="F194" s="148">
        <f t="shared" si="2"/>
        <v>355</v>
      </c>
    </row>
    <row r="195" spans="1:6" s="8" customFormat="1" x14ac:dyDescent="0.2">
      <c r="A195" s="145">
        <v>324</v>
      </c>
      <c r="B195" s="146" t="s">
        <v>3584</v>
      </c>
      <c r="C195" s="345">
        <v>184</v>
      </c>
      <c r="D195" s="149">
        <v>3650</v>
      </c>
      <c r="E195" s="149">
        <v>6035</v>
      </c>
      <c r="F195" s="148">
        <f t="shared" si="2"/>
        <v>165.34246575342465</v>
      </c>
    </row>
    <row r="196" spans="1:6" s="8" customFormat="1" x14ac:dyDescent="0.2">
      <c r="A196" s="145">
        <v>329</v>
      </c>
      <c r="B196" s="146" t="s">
        <v>434</v>
      </c>
      <c r="C196" s="345">
        <v>185</v>
      </c>
      <c r="D196" s="147">
        <f>SUM(D197:D203)</f>
        <v>74809</v>
      </c>
      <c r="E196" s="147">
        <f>SUM(E197:E203)</f>
        <v>40008</v>
      </c>
      <c r="F196" s="150">
        <f t="shared" si="2"/>
        <v>53.480196233073563</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6823</v>
      </c>
      <c r="E199" s="149">
        <v>2364</v>
      </c>
      <c r="F199" s="148">
        <f t="shared" si="2"/>
        <v>34.647515755532758</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11747</v>
      </c>
      <c r="E201" s="149">
        <v>12334</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56239</v>
      </c>
      <c r="E203" s="149">
        <v>25310</v>
      </c>
      <c r="F203" s="148">
        <f t="shared" si="2"/>
        <v>45.004356407475235</v>
      </c>
    </row>
    <row r="204" spans="1:6" s="8" customFormat="1" x14ac:dyDescent="0.2">
      <c r="A204" s="145">
        <v>34</v>
      </c>
      <c r="B204" s="151" t="s">
        <v>435</v>
      </c>
      <c r="C204" s="345">
        <v>193</v>
      </c>
      <c r="D204" s="147">
        <f>D205+D210+D218</f>
        <v>1769</v>
      </c>
      <c r="E204" s="147">
        <f>E205+E210+E218</f>
        <v>2121</v>
      </c>
      <c r="F204" s="150">
        <f t="shared" si="2"/>
        <v>119.89824759751271</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1769</v>
      </c>
      <c r="E218" s="147">
        <f>SUM(E219:E222)</f>
        <v>2121</v>
      </c>
      <c r="F218" s="150">
        <f t="shared" si="3"/>
        <v>119.89824759751271</v>
      </c>
    </row>
    <row r="219" spans="1:6" s="8" customFormat="1" x14ac:dyDescent="0.2">
      <c r="A219" s="145">
        <v>3431</v>
      </c>
      <c r="B219" s="151" t="s">
        <v>3587</v>
      </c>
      <c r="C219" s="345">
        <v>208</v>
      </c>
      <c r="D219" s="149">
        <v>1769</v>
      </c>
      <c r="E219" s="149">
        <v>2121</v>
      </c>
      <c r="F219" s="148">
        <f t="shared" si="3"/>
        <v>119.89824759751271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500</v>
      </c>
      <c r="F268" s="150" t="str">
        <f t="shared" si="3"/>
        <v>-</v>
      </c>
    </row>
    <row r="269" spans="1:6" s="8" customFormat="1" x14ac:dyDescent="0.2">
      <c r="A269" s="145">
        <v>381</v>
      </c>
      <c r="B269" s="146" t="s">
        <v>1549</v>
      </c>
      <c r="C269" s="345">
        <v>258</v>
      </c>
      <c r="D269" s="147">
        <f>SUM(D270:D272)</f>
        <v>0</v>
      </c>
      <c r="E269" s="147">
        <f>SUM(E270:E272)</f>
        <v>500</v>
      </c>
      <c r="F269" s="150" t="str">
        <f t="shared" si="3"/>
        <v>-</v>
      </c>
    </row>
    <row r="270" spans="1:6" s="8" customFormat="1" x14ac:dyDescent="0.2">
      <c r="A270" s="145">
        <v>3811</v>
      </c>
      <c r="B270" s="146" t="s">
        <v>4127</v>
      </c>
      <c r="C270" s="345">
        <v>259</v>
      </c>
      <c r="D270" s="149"/>
      <c r="E270" s="149">
        <v>500</v>
      </c>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7116719</v>
      </c>
      <c r="E292" s="147">
        <f>E159-E290+E291</f>
        <v>7470037</v>
      </c>
      <c r="F292" s="150">
        <f t="shared" si="4"/>
        <v>104.96461922973212</v>
      </c>
    </row>
    <row r="293" spans="1:6" s="8" customFormat="1" x14ac:dyDescent="0.2">
      <c r="A293" s="145" t="s">
        <v>1215</v>
      </c>
      <c r="B293" s="146" t="s">
        <v>3441</v>
      </c>
      <c r="C293" s="345">
        <v>282</v>
      </c>
      <c r="D293" s="147">
        <f>IF(D12&gt;=D292,D12-D292,0)</f>
        <v>126456</v>
      </c>
      <c r="E293" s="147">
        <f>IF(E12&gt;=E292,E12-E292,0)</f>
        <v>35475</v>
      </c>
      <c r="F293" s="150">
        <f t="shared" si="4"/>
        <v>28.053235908141961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572656</v>
      </c>
      <c r="E295" s="149">
        <v>699112</v>
      </c>
      <c r="F295" s="148">
        <f t="shared" si="4"/>
        <v>122.08236707552177</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129421</v>
      </c>
      <c r="E353" s="147">
        <f>E354+E366+E399+E403+E405</f>
        <v>16115</v>
      </c>
      <c r="F353" s="150">
        <f t="shared" si="5"/>
        <v>12.451611407731358</v>
      </c>
    </row>
    <row r="354" spans="1:6" s="8" customFormat="1" x14ac:dyDescent="0.2">
      <c r="A354" s="145">
        <v>41</v>
      </c>
      <c r="B354" s="146" t="s">
        <v>3020</v>
      </c>
      <c r="C354" s="345">
        <v>342</v>
      </c>
      <c r="D354" s="147">
        <f>D355+D359</f>
        <v>50000</v>
      </c>
      <c r="E354" s="147">
        <f>E355+E359</f>
        <v>0</v>
      </c>
      <c r="F354" s="150">
        <f t="shared" si="5"/>
        <v>0</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50000</v>
      </c>
      <c r="E359" s="147">
        <f>SUM(E360:E365)</f>
        <v>0</v>
      </c>
      <c r="F359" s="150">
        <f t="shared" si="5"/>
        <v>0</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v>50000</v>
      </c>
      <c r="E365" s="149"/>
      <c r="F365" s="148">
        <f t="shared" ref="F365:F421" si="6">IF(D365&lt;&gt;0,IF(E365/D365&gt;=100,"&gt;&gt;100",E365/D365*100),"-")</f>
        <v>0</v>
      </c>
    </row>
    <row r="366" spans="1:6" s="8" customFormat="1" x14ac:dyDescent="0.2">
      <c r="A366" s="145">
        <v>42</v>
      </c>
      <c r="B366" s="151" t="s">
        <v>3023</v>
      </c>
      <c r="C366" s="345">
        <v>354</v>
      </c>
      <c r="D366" s="147">
        <f>D367+D372+D381+D386+D391+D394</f>
        <v>79421</v>
      </c>
      <c r="E366" s="147">
        <f>E367+E372+E381+E386+E391+E394</f>
        <v>16115</v>
      </c>
      <c r="F366" s="150">
        <f t="shared" si="6"/>
        <v>20.290603240956422</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63470</v>
      </c>
      <c r="E372" s="147">
        <f>SUM(E373:E380)</f>
        <v>16095</v>
      </c>
      <c r="F372" s="150">
        <f t="shared" si="6"/>
        <v>25.358437056877264</v>
      </c>
    </row>
    <row r="373" spans="1:6" s="8" customFormat="1" x14ac:dyDescent="0.2">
      <c r="A373" s="145">
        <v>4221</v>
      </c>
      <c r="B373" s="146" t="s">
        <v>3941</v>
      </c>
      <c r="C373" s="345">
        <v>361</v>
      </c>
      <c r="D373" s="149">
        <v>61270</v>
      </c>
      <c r="E373" s="149">
        <v>12348</v>
      </c>
      <c r="F373" s="148">
        <f t="shared" si="6"/>
        <v>20.153419291659866</v>
      </c>
    </row>
    <row r="374" spans="1:6" s="8" customFormat="1" x14ac:dyDescent="0.2">
      <c r="A374" s="145">
        <v>4222</v>
      </c>
      <c r="B374" s="146" t="s">
        <v>3965</v>
      </c>
      <c r="C374" s="345">
        <v>362</v>
      </c>
      <c r="D374" s="149"/>
      <c r="E374" s="149">
        <v>3747</v>
      </c>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2200</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15951</v>
      </c>
      <c r="E386" s="147">
        <f>SUM(E387:E390)</f>
        <v>20</v>
      </c>
      <c r="F386" s="150">
        <f t="shared" si="6"/>
        <v>0.12538398846467305</v>
      </c>
    </row>
    <row r="387" spans="1:6" s="8" customFormat="1" x14ac:dyDescent="0.2">
      <c r="A387" s="145">
        <v>4241</v>
      </c>
      <c r="B387" s="146" t="s">
        <v>2886</v>
      </c>
      <c r="C387" s="345">
        <v>375</v>
      </c>
      <c r="D387" s="149">
        <v>15951</v>
      </c>
      <c r="E387" s="149">
        <v>20</v>
      </c>
      <c r="F387" s="148">
        <f t="shared" si="6"/>
        <v>0.12538398846467305</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129421</v>
      </c>
      <c r="E411" s="147">
        <f>IF(E353&gt;=E301, E353-E301, 0)</f>
        <v>16115</v>
      </c>
      <c r="F411" s="150">
        <f t="shared" si="6"/>
        <v>12.451611407731358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625235</v>
      </c>
      <c r="E413" s="149">
        <v>754656</v>
      </c>
      <c r="F413" s="148">
        <f t="shared" si="6"/>
        <v>120.69957695906339</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7243175</v>
      </c>
      <c r="E415" s="147">
        <f>E12+E301</f>
        <v>7505512</v>
      </c>
      <c r="F415" s="150">
        <f t="shared" si="6"/>
        <v>103.62185091482672</v>
      </c>
    </row>
    <row r="416" spans="1:6" s="8" customFormat="1" x14ac:dyDescent="0.2">
      <c r="A416" s="145" t="s">
        <v>1215</v>
      </c>
      <c r="B416" s="146" t="s">
        <v>1993</v>
      </c>
      <c r="C416" s="345">
        <v>404</v>
      </c>
      <c r="D416" s="147">
        <f>D292+D353</f>
        <v>7246140</v>
      </c>
      <c r="E416" s="147">
        <f>E292+E353</f>
        <v>7486152</v>
      </c>
      <c r="F416" s="150">
        <f t="shared" si="6"/>
        <v>103.31227384510926</v>
      </c>
    </row>
    <row r="417" spans="1:6" s="8" customFormat="1" x14ac:dyDescent="0.2">
      <c r="A417" s="145" t="s">
        <v>1215</v>
      </c>
      <c r="B417" s="146" t="s">
        <v>1994</v>
      </c>
      <c r="C417" s="345">
        <v>405</v>
      </c>
      <c r="D417" s="147">
        <f>IF(D415&gt;=D416,D415-D416,0)</f>
        <v>0</v>
      </c>
      <c r="E417" s="147">
        <f>IF(E415&gt;=E416,E415-E416,0)</f>
        <v>19360</v>
      </c>
      <c r="F417" s="150" t="str">
        <f t="shared" si="6"/>
        <v>-</v>
      </c>
    </row>
    <row r="418" spans="1:6" s="8" customFormat="1" x14ac:dyDescent="0.2">
      <c r="A418" s="145" t="s">
        <v>1215</v>
      </c>
      <c r="B418" s="146" t="s">
        <v>1995</v>
      </c>
      <c r="C418" s="345">
        <v>406</v>
      </c>
      <c r="D418" s="147">
        <f>IF(D416&gt;=D415,D416-D415,0)</f>
        <v>2965</v>
      </c>
      <c r="E418" s="147">
        <f>IF(E416&gt;=E415,E416-E415,0)</f>
        <v>0</v>
      </c>
      <c r="F418" s="150">
        <f t="shared" si="6"/>
        <v>0</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52579</v>
      </c>
      <c r="E420" s="147">
        <f>IF(E296-E295+E413-E412&gt;=0,E296-E295+E413-E412,0)</f>
        <v>55544</v>
      </c>
      <c r="F420" s="150">
        <f t="shared" si="6"/>
        <v>105.63913349436088</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7243175</v>
      </c>
      <c r="E642" s="147">
        <f>E415+E423</f>
        <v>7505512</v>
      </c>
      <c r="F642" s="148">
        <f t="shared" si="10"/>
        <v>103.62185091482672</v>
      </c>
    </row>
    <row r="643" spans="1:6" s="8" customFormat="1" x14ac:dyDescent="0.2">
      <c r="A643" s="145" t="s">
        <v>1215</v>
      </c>
      <c r="B643" s="146" t="s">
        <v>1246</v>
      </c>
      <c r="C643" s="345">
        <v>630</v>
      </c>
      <c r="D643" s="147">
        <f>D416+D531</f>
        <v>7246140</v>
      </c>
      <c r="E643" s="147">
        <f>E416+E531</f>
        <v>7486152</v>
      </c>
      <c r="F643" s="148">
        <f t="shared" si="10"/>
        <v>103.31227384510926</v>
      </c>
    </row>
    <row r="644" spans="1:6" s="8" customFormat="1" x14ac:dyDescent="0.2">
      <c r="A644" s="145" t="s">
        <v>1215</v>
      </c>
      <c r="B644" s="146" t="s">
        <v>1247</v>
      </c>
      <c r="C644" s="345">
        <v>631</v>
      </c>
      <c r="D644" s="147">
        <f>IF(D642&gt;=D643,D642-D643,0)</f>
        <v>0</v>
      </c>
      <c r="E644" s="147">
        <f>IF(E642&gt;=E643,E642-E643,0)</f>
        <v>19360</v>
      </c>
      <c r="F644" s="148" t="str">
        <f t="shared" si="10"/>
        <v>-</v>
      </c>
    </row>
    <row r="645" spans="1:6" s="8" customFormat="1" x14ac:dyDescent="0.2">
      <c r="A645" s="145" t="s">
        <v>1215</v>
      </c>
      <c r="B645" s="146" t="s">
        <v>1248</v>
      </c>
      <c r="C645" s="345">
        <v>632</v>
      </c>
      <c r="D645" s="147">
        <f>IF(D643&gt;=D642,D643-D642,0)</f>
        <v>2965</v>
      </c>
      <c r="E645" s="147">
        <f>IF(E643&gt;=E642,E643-E642,0)</f>
        <v>0</v>
      </c>
      <c r="F645" s="148">
        <f t="shared" si="10"/>
        <v>0</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52579</v>
      </c>
      <c r="E647" s="147">
        <f>IF(E420-E419+E641-E640&gt;=0,E420-E419+E641-E640,0)</f>
        <v>55544</v>
      </c>
      <c r="F647" s="148">
        <f t="shared" si="10"/>
        <v>105.63913349436088</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55544</v>
      </c>
      <c r="E649" s="147">
        <f>IF(E645+E647-E644-E646&gt;=0,E645+E647-E644-E646,0)</f>
        <v>36184</v>
      </c>
      <c r="F649" s="148">
        <f t="shared" si="10"/>
        <v>65.144750108022464</v>
      </c>
    </row>
    <row r="650" spans="1:6" s="8" customFormat="1" ht="24" x14ac:dyDescent="0.2">
      <c r="A650" s="156" t="s">
        <v>3810</v>
      </c>
      <c r="B650" s="157" t="s">
        <v>177</v>
      </c>
      <c r="C650" s="347">
        <v>637</v>
      </c>
      <c r="D650" s="158">
        <v>520674</v>
      </c>
      <c r="E650" s="158">
        <v>534138</v>
      </c>
      <c r="F650" s="159">
        <f t="shared" si="10"/>
        <v>102.58587907212575</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14369</v>
      </c>
      <c r="E652" s="149">
        <v>17641</v>
      </c>
      <c r="F652" s="148">
        <f t="shared" ref="F652:F677" si="11">IF(D652&lt;&gt;0,IF(E652/D652&gt;=100,"&gt;&gt;100",E652/D652*100),"-")</f>
        <v>122.77124364952327</v>
      </c>
    </row>
    <row r="653" spans="1:6" s="8" customFormat="1" x14ac:dyDescent="0.2">
      <c r="A653" s="145" t="s">
        <v>1208</v>
      </c>
      <c r="B653" s="146" t="s">
        <v>2750</v>
      </c>
      <c r="C653" s="345">
        <v>639</v>
      </c>
      <c r="D653" s="149">
        <v>6501747</v>
      </c>
      <c r="E653" s="149">
        <v>6666682</v>
      </c>
      <c r="F653" s="148">
        <f t="shared" si="11"/>
        <v>102.53677973012485</v>
      </c>
    </row>
    <row r="654" spans="1:6" s="8" customFormat="1" x14ac:dyDescent="0.2">
      <c r="A654" s="145" t="s">
        <v>1209</v>
      </c>
      <c r="B654" s="146" t="s">
        <v>3586</v>
      </c>
      <c r="C654" s="345">
        <v>640</v>
      </c>
      <c r="D654" s="149">
        <v>6498475</v>
      </c>
      <c r="E654" s="149">
        <v>6651618</v>
      </c>
      <c r="F654" s="148">
        <f t="shared" si="11"/>
        <v>102.35659904823824</v>
      </c>
    </row>
    <row r="655" spans="1:6" s="8" customFormat="1" x14ac:dyDescent="0.2">
      <c r="A655" s="145">
        <v>11</v>
      </c>
      <c r="B655" s="146" t="s">
        <v>181</v>
      </c>
      <c r="C655" s="345">
        <v>641</v>
      </c>
      <c r="D655" s="147">
        <f>+D652+D653-D654</f>
        <v>17641</v>
      </c>
      <c r="E655" s="147">
        <f>+E652+E653-E654</f>
        <v>32705</v>
      </c>
      <c r="F655" s="150">
        <f t="shared" si="11"/>
        <v>185.39198458137292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57</v>
      </c>
      <c r="E657" s="149">
        <v>58</v>
      </c>
      <c r="F657" s="148">
        <f t="shared" si="11"/>
        <v>101.75438596491229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49</v>
      </c>
      <c r="E659" s="149">
        <v>49</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7314</v>
      </c>
      <c r="F672" s="148">
        <f t="shared" si="11"/>
        <v>103.62708982714651</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6264015</v>
      </c>
      <c r="E678" s="149">
        <v>6522328</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v>25534</v>
      </c>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7886</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22275</v>
      </c>
      <c r="E698" s="149">
        <v>8195</v>
      </c>
      <c r="F698" s="148">
        <f t="shared" si="12"/>
        <v>36.790123456790127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21778</v>
      </c>
      <c r="F701" s="148" t="str">
        <f>IF(D701&lt;&gt;0,IF(E701/D701&gt;=100,"&gt;&gt;100",E701/D701*100),"-")</f>
        <v>-</v>
      </c>
    </row>
    <row r="702" spans="1:6" s="8" customFormat="1" x14ac:dyDescent="0.2">
      <c r="A702" s="145">
        <v>31215</v>
      </c>
      <c r="B702" s="146" t="s">
        <v>1641</v>
      </c>
      <c r="C702" s="345">
        <v>688</v>
      </c>
      <c r="D702" s="149">
        <v>3917</v>
      </c>
      <c r="E702" s="149">
        <v>14081</v>
      </c>
      <c r="F702" s="148">
        <f>IF(D702&lt;&gt;0,IF(E702/D702&gt;=100,"&gt;&gt;100",E702/D702*100),"-")</f>
        <v>359.48429920857802</v>
      </c>
    </row>
    <row r="703" spans="1:6" s="8" customFormat="1" x14ac:dyDescent="0.2">
      <c r="A703" s="145">
        <v>32121</v>
      </c>
      <c r="B703" s="146" t="s">
        <v>3797</v>
      </c>
      <c r="C703" s="345">
        <v>689</v>
      </c>
      <c r="D703" s="149">
        <v>190490</v>
      </c>
      <c r="E703" s="149">
        <v>279373</v>
      </c>
      <c r="F703" s="148">
        <f>IF(D703&lt;&gt;0,IF(E703/D703&gt;=100,"&gt;&gt;100",E703/D703*100),"-")</f>
        <v>146.66019213607012</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14121</v>
      </c>
      <c r="E705" s="149">
        <v>10267</v>
      </c>
      <c r="F705" s="148">
        <f>IF(D705&lt;&gt;0,IF(E705/D705&gt;=100,"&gt;&gt;100",E705/D705*100),"-")</f>
        <v>72.707315345938667</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16762</v>
      </c>
      <c r="E707" s="149">
        <v>9105</v>
      </c>
      <c r="F707" s="148">
        <f>IF(D707&lt;&gt;0,IF(E707/D707&gt;=100,"&gt;&gt;100",E707/D707*100),"-")</f>
        <v>54.31929364037704</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v>500</v>
      </c>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FILIP GRBEŠ</v>
      </c>
      <c r="D995" s="293"/>
      <c r="E995" s="293"/>
    </row>
    <row r="996" spans="1:5" ht="15" customHeight="1" x14ac:dyDescent="0.2">
      <c r="A996" s="291" t="str">
        <f>IF(RefStr!H27="","Telefon za kontakt: _________________","Telefon za kontakt: " &amp; RefStr!H27)</f>
        <v>Telefon za kontakt: 031/703-306</v>
      </c>
      <c r="C996" s="292"/>
    </row>
    <row r="997" spans="1:5" ht="15" customHeight="1" x14ac:dyDescent="0.2">
      <c r="A997" s="291" t="str">
        <f>IF(RefStr!H33="","Odgovorna osoba: _____________________________","Odgovorna osoba: " &amp; RefStr!H33)</f>
        <v>Odgovorna osoba: Blaženka Kalčić,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10" activePane="bottomLeft" state="frozen"/>
      <selection pane="bottomLeft" activeCell="E251" sqref="B251:E25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22672</v>
      </c>
      <c r="C4" s="414"/>
      <c r="D4" s="414"/>
      <c r="E4" s="415">
        <f>SUM(Skriveni!G977:G1286)</f>
        <v>13899375.465</v>
      </c>
      <c r="F4" s="416"/>
    </row>
    <row r="5" spans="1:6" ht="15" customHeight="1" x14ac:dyDescent="0.2">
      <c r="B5" s="413" t="str">
        <f>"Naziv: "&amp;IF(RefStr!B10&lt;&gt;"",RefStr!B10,"_______________________________________")</f>
        <v>Naziv: DRUGA SREDNJA ŠKOLA BELI MANASTIR</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3230565</v>
      </c>
      <c r="E12" s="96">
        <f>E13+E74</f>
        <v>3127096</v>
      </c>
      <c r="F12" s="123">
        <f t="shared" ref="F12:F75" si="0">IF(D12&gt;0,IF(E12/D12&gt;=100,"&gt;&gt;100",E12/D12*100),"-")</f>
        <v>96.79718563161552</v>
      </c>
    </row>
    <row r="13" spans="1:6" s="3" customFormat="1" x14ac:dyDescent="0.2">
      <c r="A13" s="132">
        <v>0</v>
      </c>
      <c r="B13" s="314" t="s">
        <v>521</v>
      </c>
      <c r="C13" s="303">
        <v>2</v>
      </c>
      <c r="D13" s="97">
        <f>D14+D18+D57+D58+D62+D69</f>
        <v>2685548</v>
      </c>
      <c r="E13" s="97">
        <f>E14+E18+E57+E58+E62+E69</f>
        <v>2559095</v>
      </c>
      <c r="F13" s="124">
        <f t="shared" si="0"/>
        <v>95.291352081586339</v>
      </c>
    </row>
    <row r="14" spans="1:6" s="3" customFormat="1" x14ac:dyDescent="0.2">
      <c r="A14" s="132" t="s">
        <v>1564</v>
      </c>
      <c r="B14" s="314" t="s">
        <v>3259</v>
      </c>
      <c r="C14" s="303">
        <v>3</v>
      </c>
      <c r="D14" s="97">
        <f>D15+D16-D17</f>
        <v>160106</v>
      </c>
      <c r="E14" s="97">
        <f>E15+E16-E17</f>
        <v>145804</v>
      </c>
      <c r="F14" s="124">
        <f t="shared" si="0"/>
        <v>91.067168001199207</v>
      </c>
    </row>
    <row r="15" spans="1:6" s="3" customFormat="1" x14ac:dyDescent="0.2">
      <c r="A15" s="132" t="s">
        <v>3260</v>
      </c>
      <c r="B15" s="314" t="s">
        <v>3261</v>
      </c>
      <c r="C15" s="303">
        <v>4</v>
      </c>
      <c r="D15" s="94">
        <v>115877</v>
      </c>
      <c r="E15" s="94">
        <v>115877</v>
      </c>
      <c r="F15" s="125">
        <f t="shared" si="0"/>
        <v>100</v>
      </c>
    </row>
    <row r="16" spans="1:6" s="3" customFormat="1" x14ac:dyDescent="0.2">
      <c r="A16" s="132" t="s">
        <v>3262</v>
      </c>
      <c r="B16" s="314" t="s">
        <v>358</v>
      </c>
      <c r="C16" s="303">
        <v>5</v>
      </c>
      <c r="D16" s="94">
        <v>75508</v>
      </c>
      <c r="E16" s="94">
        <v>75508</v>
      </c>
      <c r="F16" s="125">
        <f t="shared" si="0"/>
        <v>100</v>
      </c>
    </row>
    <row r="17" spans="1:6" s="3" customFormat="1" x14ac:dyDescent="0.2">
      <c r="A17" s="132" t="s">
        <v>359</v>
      </c>
      <c r="B17" s="314" t="s">
        <v>360</v>
      </c>
      <c r="C17" s="303">
        <v>6</v>
      </c>
      <c r="D17" s="94">
        <v>31279</v>
      </c>
      <c r="E17" s="94">
        <v>45581</v>
      </c>
      <c r="F17" s="125">
        <f t="shared" si="0"/>
        <v>145.72396815754979</v>
      </c>
    </row>
    <row r="18" spans="1:6" s="3" customFormat="1" x14ac:dyDescent="0.2">
      <c r="A18" s="132" t="s">
        <v>361</v>
      </c>
      <c r="B18" s="314" t="s">
        <v>522</v>
      </c>
      <c r="C18" s="303">
        <v>7</v>
      </c>
      <c r="D18" s="97">
        <f>D19+D25+D35+D41+D47+D51</f>
        <v>2525442</v>
      </c>
      <c r="E18" s="97">
        <f>E19+E25+E35+E41+E47+E51</f>
        <v>2413291</v>
      </c>
      <c r="F18" s="124">
        <f t="shared" si="0"/>
        <v>95.559153605586673</v>
      </c>
    </row>
    <row r="19" spans="1:6" s="3" customFormat="1" x14ac:dyDescent="0.2">
      <c r="A19" s="315" t="s">
        <v>362</v>
      </c>
      <c r="B19" s="314" t="s">
        <v>3928</v>
      </c>
      <c r="C19" s="303">
        <v>8</v>
      </c>
      <c r="D19" s="97">
        <f>SUM(D20:D23)-D24</f>
        <v>2305319</v>
      </c>
      <c r="E19" s="97">
        <f>SUM(E20:E23)-E24</f>
        <v>2249399</v>
      </c>
      <c r="F19" s="124">
        <f t="shared" si="0"/>
        <v>97.574305334749766</v>
      </c>
    </row>
    <row r="20" spans="1:6" s="3" customFormat="1" x14ac:dyDescent="0.2">
      <c r="A20" s="132" t="s">
        <v>363</v>
      </c>
      <c r="B20" s="314" t="s">
        <v>382</v>
      </c>
      <c r="C20" s="303">
        <v>9</v>
      </c>
      <c r="D20" s="94">
        <v>905655</v>
      </c>
      <c r="E20" s="94">
        <v>905655</v>
      </c>
      <c r="F20" s="125">
        <f t="shared" si="0"/>
        <v>100</v>
      </c>
    </row>
    <row r="21" spans="1:6" s="3" customFormat="1" x14ac:dyDescent="0.2">
      <c r="A21" s="132" t="s">
        <v>364</v>
      </c>
      <c r="B21" s="314" t="s">
        <v>383</v>
      </c>
      <c r="C21" s="303">
        <v>10</v>
      </c>
      <c r="D21" s="94">
        <v>3567926</v>
      </c>
      <c r="E21" s="94">
        <v>3567926</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2168262</v>
      </c>
      <c r="E24" s="94">
        <v>2224182</v>
      </c>
      <c r="F24" s="125">
        <f t="shared" si="0"/>
        <v>102.57902412162368</v>
      </c>
    </row>
    <row r="25" spans="1:6" s="3" customFormat="1" x14ac:dyDescent="0.2">
      <c r="A25" s="315" t="s">
        <v>1156</v>
      </c>
      <c r="B25" s="314" t="s">
        <v>1261</v>
      </c>
      <c r="C25" s="303">
        <v>14</v>
      </c>
      <c r="D25" s="97">
        <f>SUM(D26:D33)-D34</f>
        <v>203025</v>
      </c>
      <c r="E25" s="97">
        <f>SUM(E26:E33)-E34</f>
        <v>149968</v>
      </c>
      <c r="F25" s="124">
        <f t="shared" si="0"/>
        <v>73.866765176702373</v>
      </c>
    </row>
    <row r="26" spans="1:6" s="3" customFormat="1" x14ac:dyDescent="0.2">
      <c r="A26" s="132" t="s">
        <v>1157</v>
      </c>
      <c r="B26" s="314" t="s">
        <v>3941</v>
      </c>
      <c r="C26" s="303">
        <v>15</v>
      </c>
      <c r="D26" s="94">
        <v>1105977</v>
      </c>
      <c r="E26" s="94">
        <v>1078165</v>
      </c>
      <c r="F26" s="125">
        <f t="shared" si="0"/>
        <v>97.485300327221992</v>
      </c>
    </row>
    <row r="27" spans="1:6" s="3" customFormat="1" x14ac:dyDescent="0.2">
      <c r="A27" s="132" t="s">
        <v>1158</v>
      </c>
      <c r="B27" s="314" t="s">
        <v>3965</v>
      </c>
      <c r="C27" s="303">
        <v>16</v>
      </c>
      <c r="D27" s="94">
        <v>2700</v>
      </c>
      <c r="E27" s="94">
        <v>6447</v>
      </c>
      <c r="F27" s="125">
        <f t="shared" si="0"/>
        <v>238.7777777777778</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136538</v>
      </c>
      <c r="E32" s="94">
        <v>117016</v>
      </c>
      <c r="F32" s="125">
        <f t="shared" si="0"/>
        <v>85.702148852334147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1042190</v>
      </c>
      <c r="E34" s="94">
        <v>1051660</v>
      </c>
      <c r="F34" s="125">
        <f t="shared" si="0"/>
        <v>100.9086634874639</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1259</v>
      </c>
      <c r="E36" s="94">
        <v>1259</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1259</v>
      </c>
      <c r="E40" s="94">
        <v>1259</v>
      </c>
      <c r="F40" s="125">
        <f t="shared" si="0"/>
        <v>100</v>
      </c>
    </row>
    <row r="41" spans="1:6" s="3" customFormat="1" x14ac:dyDescent="0.2">
      <c r="A41" s="315" t="s">
        <v>2877</v>
      </c>
      <c r="B41" s="314" t="s">
        <v>3134</v>
      </c>
      <c r="C41" s="303">
        <v>30</v>
      </c>
      <c r="D41" s="97">
        <f>SUM(D42:D45)-D46</f>
        <v>17098</v>
      </c>
      <c r="E41" s="97">
        <f>SUM(E42:E45)-E46</f>
        <v>13924</v>
      </c>
      <c r="F41" s="124">
        <f t="shared" si="0"/>
        <v>81.436425312902088</v>
      </c>
    </row>
    <row r="42" spans="1:6" s="3" customFormat="1" x14ac:dyDescent="0.2">
      <c r="A42" s="132" t="s">
        <v>2878</v>
      </c>
      <c r="B42" s="314" t="s">
        <v>2886</v>
      </c>
      <c r="C42" s="303">
        <v>31</v>
      </c>
      <c r="D42" s="94">
        <v>69941</v>
      </c>
      <c r="E42" s="94">
        <v>69961</v>
      </c>
      <c r="F42" s="125">
        <f t="shared" si="0"/>
        <v>100.02859553051857</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52843</v>
      </c>
      <c r="E46" s="94">
        <v>56037</v>
      </c>
      <c r="F46" s="125">
        <f t="shared" si="0"/>
        <v>106.04431996669379</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155794</v>
      </c>
      <c r="E60" s="94">
        <v>165283</v>
      </c>
      <c r="F60" s="125">
        <f t="shared" si="0"/>
        <v>106.09073520161239</v>
      </c>
    </row>
    <row r="61" spans="1:6" s="3" customFormat="1" x14ac:dyDescent="0.2">
      <c r="A61" s="132" t="s">
        <v>456</v>
      </c>
      <c r="B61" s="314" t="s">
        <v>617</v>
      </c>
      <c r="C61" s="303">
        <v>50</v>
      </c>
      <c r="D61" s="94">
        <v>155794</v>
      </c>
      <c r="E61" s="94">
        <v>165283</v>
      </c>
      <c r="F61" s="125">
        <f t="shared" si="0"/>
        <v>106.09073520161239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545017</v>
      </c>
      <c r="E74" s="97">
        <f>E75+E84+E92+E123+E139+E151+E168+E169</f>
        <v>568001</v>
      </c>
      <c r="F74" s="124">
        <f t="shared" si="0"/>
        <v>104.21711616334903</v>
      </c>
    </row>
    <row r="75" spans="1:6" s="3" customFormat="1" x14ac:dyDescent="0.2">
      <c r="A75" s="272" t="s">
        <v>2744</v>
      </c>
      <c r="B75" s="314" t="s">
        <v>322</v>
      </c>
      <c r="C75" s="303">
        <v>64</v>
      </c>
      <c r="D75" s="97">
        <f>+D76+D81+D82+D83</f>
        <v>17641</v>
      </c>
      <c r="E75" s="97">
        <f>+E76+E81+E82+E83</f>
        <v>32705</v>
      </c>
      <c r="F75" s="124">
        <f t="shared" si="0"/>
        <v>185.39198458137292</v>
      </c>
    </row>
    <row r="76" spans="1:6" s="3" customFormat="1" x14ac:dyDescent="0.2">
      <c r="A76" s="132" t="s">
        <v>3429</v>
      </c>
      <c r="B76" s="317" t="s">
        <v>1885</v>
      </c>
      <c r="C76" s="303">
        <v>65</v>
      </c>
      <c r="D76" s="97">
        <f>SUM(D77:D80)</f>
        <v>16315</v>
      </c>
      <c r="E76" s="97">
        <f>SUM(E77:E80)</f>
        <v>32171</v>
      </c>
      <c r="F76" s="124">
        <f t="shared" ref="F76:F139" si="1">IF(D76&gt;0,IF(E76/D76&gt;=100,"&gt;&gt;100",E76/D76*100),"-")</f>
        <v>197.18663806313208</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16315</v>
      </c>
      <c r="E78" s="94">
        <v>32171</v>
      </c>
      <c r="F78" s="125">
        <f t="shared" si="1"/>
        <v>197.18663806313208</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1326</v>
      </c>
      <c r="E82" s="94">
        <v>534</v>
      </c>
      <c r="F82" s="125">
        <f t="shared" si="1"/>
        <v>40.271493212669682</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4575</v>
      </c>
      <c r="E84" s="97">
        <f>+E85+SUM(E88:E91)</f>
        <v>0</v>
      </c>
      <c r="F84" s="124">
        <f t="shared" si="1"/>
        <v>0</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4575</v>
      </c>
      <c r="E91" s="94"/>
      <c r="F91" s="125">
        <f t="shared" si="1"/>
        <v>0</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2127</v>
      </c>
      <c r="E151" s="97">
        <f>SUM(E152:E154)+SUM(E162:E166)-E167</f>
        <v>1158</v>
      </c>
      <c r="F151" s="124">
        <f t="shared" si="2"/>
        <v>54.442877291960514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2127</v>
      </c>
      <c r="E164" s="94">
        <v>1158</v>
      </c>
      <c r="F164" s="125">
        <f t="shared" si="2"/>
        <v>54.442877291960514</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520674</v>
      </c>
      <c r="E169" s="97">
        <f>SUM(E170:E172)</f>
        <v>534138</v>
      </c>
      <c r="F169" s="124">
        <f t="shared" si="2"/>
        <v>102.58587907212575</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520674</v>
      </c>
      <c r="E172" s="94">
        <v>534138</v>
      </c>
      <c r="F172" s="125">
        <f t="shared" si="2"/>
        <v>102.58587907212575</v>
      </c>
    </row>
    <row r="173" spans="1:6" s="3" customFormat="1" x14ac:dyDescent="0.2">
      <c r="A173" s="272"/>
      <c r="B173" s="314" t="s">
        <v>1068</v>
      </c>
      <c r="C173" s="303">
        <v>162</v>
      </c>
      <c r="D173" s="97">
        <f>D174+D234</f>
        <v>3230565</v>
      </c>
      <c r="E173" s="97">
        <f>E174+E234</f>
        <v>3127096</v>
      </c>
      <c r="F173" s="124">
        <f t="shared" si="2"/>
        <v>96.79718563161552</v>
      </c>
    </row>
    <row r="174" spans="1:6" s="3" customFormat="1" x14ac:dyDescent="0.2">
      <c r="A174" s="272" t="s">
        <v>3813</v>
      </c>
      <c r="B174" s="314" t="s">
        <v>1145</v>
      </c>
      <c r="C174" s="303">
        <v>163</v>
      </c>
      <c r="D174" s="97">
        <f>D175+D186+D187+D203+D231</f>
        <v>598434</v>
      </c>
      <c r="E174" s="97">
        <f>E175+E186+E187+E203+E231</f>
        <v>603027</v>
      </c>
      <c r="F174" s="124">
        <f t="shared" si="2"/>
        <v>100.76750318330842</v>
      </c>
    </row>
    <row r="175" spans="1:6" s="3" customFormat="1" x14ac:dyDescent="0.2">
      <c r="A175" s="272" t="s">
        <v>1181</v>
      </c>
      <c r="B175" s="314" t="s">
        <v>1547</v>
      </c>
      <c r="C175" s="303">
        <v>164</v>
      </c>
      <c r="D175" s="97">
        <f>SUM(D176:D178)+SUM(D182:D185)</f>
        <v>598434</v>
      </c>
      <c r="E175" s="97">
        <f>SUM(E176:E178)+SUM(E182:E185)</f>
        <v>603027</v>
      </c>
      <c r="F175" s="124">
        <f t="shared" si="2"/>
        <v>100.76750318330842</v>
      </c>
    </row>
    <row r="176" spans="1:6" s="3" customFormat="1" x14ac:dyDescent="0.2">
      <c r="A176" s="272" t="s">
        <v>1182</v>
      </c>
      <c r="B176" s="314" t="s">
        <v>1183</v>
      </c>
      <c r="C176" s="303">
        <v>165</v>
      </c>
      <c r="D176" s="94">
        <v>523751</v>
      </c>
      <c r="E176" s="94">
        <v>534138</v>
      </c>
      <c r="F176" s="125">
        <f t="shared" si="2"/>
        <v>101.98319430416363</v>
      </c>
    </row>
    <row r="177" spans="1:6" s="3" customFormat="1" x14ac:dyDescent="0.2">
      <c r="A177" s="272" t="s">
        <v>1184</v>
      </c>
      <c r="B177" s="314" t="s">
        <v>1185</v>
      </c>
      <c r="C177" s="303">
        <v>166</v>
      </c>
      <c r="D177" s="94">
        <v>70108</v>
      </c>
      <c r="E177" s="94">
        <v>68689</v>
      </c>
      <c r="F177" s="125">
        <f t="shared" si="2"/>
        <v>97.975979916699956</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4575</v>
      </c>
      <c r="E185" s="94">
        <v>200</v>
      </c>
      <c r="F185" s="125">
        <f t="shared" si="2"/>
        <v>4.3715846994535523</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2632131</v>
      </c>
      <c r="E234" s="97">
        <f>+E235+E243-E247+E251+E252+E253</f>
        <v>2524069</v>
      </c>
      <c r="F234" s="124">
        <f t="shared" si="3"/>
        <v>95.894505250688511</v>
      </c>
    </row>
    <row r="235" spans="1:6" s="3" customFormat="1" x14ac:dyDescent="0.2">
      <c r="A235" s="132" t="s">
        <v>1279</v>
      </c>
      <c r="B235" s="314" t="s">
        <v>3395</v>
      </c>
      <c r="C235" s="303">
        <v>224</v>
      </c>
      <c r="D235" s="97">
        <f>D236-D239</f>
        <v>2685548</v>
      </c>
      <c r="E235" s="97">
        <f>E236-E239</f>
        <v>2559095</v>
      </c>
      <c r="F235" s="124">
        <f t="shared" si="3"/>
        <v>95.291352081586339</v>
      </c>
    </row>
    <row r="236" spans="1:6" s="3" customFormat="1" x14ac:dyDescent="0.2">
      <c r="A236" s="132" t="s">
        <v>1280</v>
      </c>
      <c r="B236" s="314" t="s">
        <v>3396</v>
      </c>
      <c r="C236" s="303">
        <v>225</v>
      </c>
      <c r="D236" s="97">
        <f>SUM(D237:D238)</f>
        <v>2685548</v>
      </c>
      <c r="E236" s="97">
        <f>SUM(E237:E238)</f>
        <v>2559095</v>
      </c>
      <c r="F236" s="124">
        <f t="shared" si="3"/>
        <v>95.291352081586339</v>
      </c>
    </row>
    <row r="237" spans="1:6" s="3" customFormat="1" x14ac:dyDescent="0.2">
      <c r="A237" s="132" t="s">
        <v>1281</v>
      </c>
      <c r="B237" s="314" t="s">
        <v>1282</v>
      </c>
      <c r="C237" s="303">
        <v>226</v>
      </c>
      <c r="D237" s="94">
        <v>2641319</v>
      </c>
      <c r="E237" s="94">
        <v>2529168</v>
      </c>
      <c r="F237" s="125">
        <f t="shared" si="3"/>
        <v>95.753977463532422</v>
      </c>
    </row>
    <row r="238" spans="1:6" s="3" customFormat="1" x14ac:dyDescent="0.2">
      <c r="A238" s="132" t="s">
        <v>1283</v>
      </c>
      <c r="B238" s="314" t="s">
        <v>1284</v>
      </c>
      <c r="C238" s="303">
        <v>227</v>
      </c>
      <c r="D238" s="94">
        <v>44229</v>
      </c>
      <c r="E238" s="94">
        <v>29927</v>
      </c>
      <c r="F238" s="125">
        <f t="shared" si="3"/>
        <v>67.663750028262001</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699112</v>
      </c>
      <c r="E243" s="97">
        <f>SUM(E244:E246)</f>
        <v>734587</v>
      </c>
      <c r="F243" s="124">
        <f t="shared" si="3"/>
        <v>105.07429424755976</v>
      </c>
    </row>
    <row r="244" spans="1:6" s="3" customFormat="1" x14ac:dyDescent="0.2">
      <c r="A244" s="132" t="s">
        <v>2861</v>
      </c>
      <c r="B244" s="314" t="s">
        <v>4121</v>
      </c>
      <c r="C244" s="303">
        <v>233</v>
      </c>
      <c r="D244" s="94">
        <v>699112</v>
      </c>
      <c r="E244" s="94">
        <v>734587</v>
      </c>
      <c r="F244" s="125">
        <f t="shared" si="3"/>
        <v>105.07429424755976</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754656</v>
      </c>
      <c r="E247" s="97">
        <f>SUM(E248:E250)</f>
        <v>770771</v>
      </c>
      <c r="F247" s="124">
        <f t="shared" si="3"/>
        <v>102.13541004113131</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754656</v>
      </c>
      <c r="E249" s="94">
        <v>770771</v>
      </c>
      <c r="F249" s="125">
        <f t="shared" si="3"/>
        <v>102.13541004113131</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2127</v>
      </c>
      <c r="E251" s="94">
        <v>1158</v>
      </c>
      <c r="F251" s="125">
        <f t="shared" si="3"/>
        <v>54.442877291960514</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733178</v>
      </c>
      <c r="F255" s="124" t="str">
        <f t="shared" si="3"/>
        <v>-</v>
      </c>
    </row>
    <row r="256" spans="1:6" s="3" customFormat="1" x14ac:dyDescent="0.2">
      <c r="A256" s="319" t="s">
        <v>302</v>
      </c>
      <c r="B256" s="320" t="s">
        <v>303</v>
      </c>
      <c r="C256" s="306">
        <v>245</v>
      </c>
      <c r="D256" s="95"/>
      <c r="E256" s="95">
        <v>733178</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2127</v>
      </c>
      <c r="E260" s="94">
        <v>1158</v>
      </c>
      <c r="F260" s="125">
        <f t="shared" si="4"/>
        <v>54.442877291960514</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598434</v>
      </c>
      <c r="E287" s="94">
        <v>603027</v>
      </c>
      <c r="F287" s="125">
        <f t="shared" si="4"/>
        <v>100.76750318330842</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FILIP GRBEŠ</v>
      </c>
      <c r="B325" s="291"/>
      <c r="D325" s="293"/>
      <c r="E325" s="293"/>
      <c r="F325" s="291"/>
      <c r="G325" s="307"/>
    </row>
    <row r="326" spans="1:7" s="292" customFormat="1" ht="15" customHeight="1" x14ac:dyDescent="0.2">
      <c r="A326" s="291" t="str">
        <f>IF(RefStr!H27="","Telefon za kontakt: _________________","Telefon za kontakt: " &amp; RefStr!H27)</f>
        <v>Telefon za kontakt: 031/703-306</v>
      </c>
      <c r="B326" s="291"/>
      <c r="F326" s="291"/>
      <c r="G326" s="307"/>
    </row>
    <row r="327" spans="1:7" s="292" customFormat="1" ht="15" customHeight="1" x14ac:dyDescent="0.2">
      <c r="A327" s="291" t="str">
        <f>IF(RefStr!H33="","Odgovorna osoba: _____________________________","Odgovorna osoba: " &amp; RefStr!H33)</f>
        <v>Odgovorna osoba: Blaženka Kalčić,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8" sqref="E12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22672</v>
      </c>
      <c r="C4" s="414"/>
      <c r="D4" s="414"/>
      <c r="E4" s="415">
        <f>SUM(Skriveni!G1287:G1423)</f>
        <v>10598197.788000001</v>
      </c>
      <c r="F4" s="416"/>
    </row>
    <row r="5" spans="1:6" ht="15" customHeight="1" x14ac:dyDescent="0.2">
      <c r="B5" s="413" t="str">
        <f>"Naziv: "&amp;IF(RefStr!B10&lt;&gt;"",RefStr!B10,"_______________________________________")</f>
        <v>Naziv: DRUGA SREDNJA ŠKOLA BELI MANASTIR</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7246140</v>
      </c>
      <c r="E121" s="97">
        <f>E122+E125+E128+E129+SUM(E132:E135)</f>
        <v>7486152</v>
      </c>
      <c r="F121" s="125">
        <f t="shared" si="1"/>
        <v>103.31227384510926</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7246140</v>
      </c>
      <c r="E125" s="97">
        <f>SUM(E126:E127)</f>
        <v>7486152</v>
      </c>
      <c r="F125" s="125">
        <f t="shared" si="1"/>
        <v>103.31227384510926</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v>7246140</v>
      </c>
      <c r="E127" s="94">
        <v>7486152</v>
      </c>
      <c r="F127" s="125">
        <f t="shared" si="1"/>
        <v>103.31227384510926</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7246140</v>
      </c>
      <c r="E148" s="107">
        <f>E12+E29+E35+E42+E82+E89+E96+E114+E121+E136</f>
        <v>7486152</v>
      </c>
      <c r="F148" s="126">
        <f t="shared" si="2"/>
        <v>103.31227384510926</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FILIP GRBEŠ</v>
      </c>
      <c r="B151" s="291"/>
      <c r="D151" s="293"/>
      <c r="E151" s="293"/>
      <c r="F151" s="291"/>
      <c r="G151" s="307"/>
    </row>
    <row r="152" spans="1:7" s="292" customFormat="1" ht="15" customHeight="1" x14ac:dyDescent="0.2">
      <c r="A152" s="291" t="str">
        <f>IF(RefStr!H27="","Telefon za kontakt: _________________","Telefon za kontakt: " &amp; RefStr!H27)</f>
        <v>Telefon za kontakt: 031/703-306</v>
      </c>
      <c r="B152" s="291"/>
      <c r="E152" s="291"/>
      <c r="F152" s="291"/>
      <c r="G152" s="307"/>
    </row>
    <row r="153" spans="1:7" s="292" customFormat="1" ht="15" customHeight="1" x14ac:dyDescent="0.2">
      <c r="A153" s="291" t="str">
        <f>IF(RefStr!H33="","Odgovorna osoba: _____________________________","Odgovorna osoba: " &amp; RefStr!H33)</f>
        <v>Odgovorna osoba: Blaženka Kalčić,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33" sqref="E33"/>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22672</v>
      </c>
      <c r="C4" s="450"/>
      <c r="D4" s="415">
        <f>SUM(Skriveni!G1424:G1467)</f>
        <v>7042.4760000000006</v>
      </c>
      <c r="E4" s="416"/>
    </row>
    <row r="5" spans="1:6" ht="15" customHeight="1" x14ac:dyDescent="0.2">
      <c r="B5" s="413" t="str">
        <f>"Naziv: "&amp;IF(RefStr!B10&lt;&gt;"",RefStr!B10,"_______________________________________")</f>
        <v>Naziv: DRUGA SREDNJA ŠKOLA BELI MANASTIR</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8532 Tehničko i strukovno srednje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59682</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59682</v>
      </c>
    </row>
    <row r="30" spans="1:5" s="3" customFormat="1" ht="14.1" customHeight="1" x14ac:dyDescent="0.2">
      <c r="A30" s="301" t="s">
        <v>1215</v>
      </c>
      <c r="B30" s="302" t="s">
        <v>3068</v>
      </c>
      <c r="C30" s="303">
        <v>19</v>
      </c>
      <c r="D30" s="97">
        <f>SUM(D31:D36)</f>
        <v>0</v>
      </c>
      <c r="E30" s="134">
        <f>SUM(E31:E36)</f>
        <v>59682</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59682</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FILIP GRBEŠ</v>
      </c>
      <c r="B59" s="291"/>
      <c r="D59" s="293"/>
      <c r="E59" s="293"/>
      <c r="F59" s="291"/>
      <c r="G59" s="307"/>
    </row>
    <row r="60" spans="1:7" s="292" customFormat="1" ht="15" customHeight="1" x14ac:dyDescent="0.2">
      <c r="A60" s="291" t="str">
        <f>IF(RefStr!H27="","Telefon za kontakt: _________________","Telefon za kontakt: " &amp; RefStr!H27)</f>
        <v>Telefon za kontakt: 031/703-306</v>
      </c>
      <c r="B60" s="291"/>
      <c r="F60" s="291"/>
      <c r="G60" s="307"/>
    </row>
    <row r="61" spans="1:7" s="292" customFormat="1" ht="15" customHeight="1" x14ac:dyDescent="0.2">
      <c r="A61" s="291" t="str">
        <f>IF(RefStr!H33="","Odgovorna osoba: _____________________________","Odgovorna osoba: " &amp; RefStr!H33)</f>
        <v>Odgovorna osoba: Blaženka Kalčić,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4" activePane="bottomLeft" state="frozen"/>
      <selection pane="bottomLeft" activeCell="D40" sqref="D4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22672</v>
      </c>
      <c r="C4" s="415">
        <f>SUM(Skriveni!G1468:G1561)</f>
        <v>175755.90499999997</v>
      </c>
      <c r="D4" s="416"/>
    </row>
    <row r="5" spans="1:5" s="23" customFormat="1" ht="15" customHeight="1" x14ac:dyDescent="0.2">
      <c r="B5" s="98" t="str">
        <f>"Naziv: "&amp;IF(RefStr!B10&lt;&gt;"",RefStr!B10,"_______________________________________")</f>
        <v>Naziv: DRUGA SREDNJA ŠKOLA BELI MANASTIR</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8532 Tehničko i strukovno srednje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598434</v>
      </c>
    </row>
    <row r="13" spans="1:5" s="2" customFormat="1" x14ac:dyDescent="0.2">
      <c r="A13" s="270"/>
      <c r="B13" s="271" t="s">
        <v>2062</v>
      </c>
      <c r="C13" s="264">
        <v>2</v>
      </c>
      <c r="D13" s="140">
        <f>D14+D15+D23+D24</f>
        <v>603027</v>
      </c>
    </row>
    <row r="14" spans="1:5" s="2" customFormat="1" x14ac:dyDescent="0.2">
      <c r="A14" s="270"/>
      <c r="B14" s="271" t="s">
        <v>4041</v>
      </c>
      <c r="C14" s="264">
        <v>3</v>
      </c>
      <c r="D14" s="141"/>
    </row>
    <row r="15" spans="1:5" s="2" customFormat="1" x14ac:dyDescent="0.2">
      <c r="A15" s="270" t="s">
        <v>1181</v>
      </c>
      <c r="B15" s="271" t="s">
        <v>3078</v>
      </c>
      <c r="C15" s="264">
        <v>4</v>
      </c>
      <c r="D15" s="140">
        <f>SUM(D16:D22)</f>
        <v>603027</v>
      </c>
    </row>
    <row r="16" spans="1:5" s="2" customFormat="1" x14ac:dyDescent="0.2">
      <c r="A16" s="272" t="s">
        <v>1182</v>
      </c>
      <c r="B16" s="273" t="s">
        <v>1183</v>
      </c>
      <c r="C16" s="264">
        <v>5</v>
      </c>
      <c r="D16" s="141">
        <v>534138</v>
      </c>
    </row>
    <row r="17" spans="1:4" s="2" customFormat="1" x14ac:dyDescent="0.2">
      <c r="A17" s="272" t="s">
        <v>1184</v>
      </c>
      <c r="B17" s="273" t="s">
        <v>1185</v>
      </c>
      <c r="C17" s="264">
        <v>6</v>
      </c>
      <c r="D17" s="141">
        <v>68689</v>
      </c>
    </row>
    <row r="18" spans="1:4" s="2" customFormat="1" x14ac:dyDescent="0.2">
      <c r="A18" s="272" t="s">
        <v>1186</v>
      </c>
      <c r="B18" s="273" t="s">
        <v>1187</v>
      </c>
      <c r="C18" s="264">
        <v>7</v>
      </c>
      <c r="D18" s="141"/>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200</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598434</v>
      </c>
    </row>
    <row r="31" spans="1:4" s="2" customFormat="1" x14ac:dyDescent="0.2">
      <c r="A31" s="272"/>
      <c r="B31" s="271" t="s">
        <v>4041</v>
      </c>
      <c r="C31" s="264">
        <v>20</v>
      </c>
      <c r="D31" s="141"/>
    </row>
    <row r="32" spans="1:4" s="2" customFormat="1" x14ac:dyDescent="0.2">
      <c r="A32" s="270" t="s">
        <v>1181</v>
      </c>
      <c r="B32" s="271" t="s">
        <v>3081</v>
      </c>
      <c r="C32" s="264">
        <v>21</v>
      </c>
      <c r="D32" s="140">
        <f>SUM(D33:D39)</f>
        <v>598434</v>
      </c>
    </row>
    <row r="33" spans="1:4" s="2" customFormat="1" x14ac:dyDescent="0.2">
      <c r="A33" s="272" t="s">
        <v>1182</v>
      </c>
      <c r="B33" s="273" t="s">
        <v>1183</v>
      </c>
      <c r="C33" s="264">
        <v>22</v>
      </c>
      <c r="D33" s="141">
        <v>523751</v>
      </c>
    </row>
    <row r="34" spans="1:4" s="2" customFormat="1" x14ac:dyDescent="0.2">
      <c r="A34" s="272" t="s">
        <v>1184</v>
      </c>
      <c r="B34" s="273" t="s">
        <v>1185</v>
      </c>
      <c r="C34" s="264">
        <v>23</v>
      </c>
      <c r="D34" s="141">
        <v>70108</v>
      </c>
    </row>
    <row r="35" spans="1:4" s="2" customFormat="1" x14ac:dyDescent="0.2">
      <c r="A35" s="272" t="s">
        <v>1186</v>
      </c>
      <c r="B35" s="273" t="s">
        <v>1187</v>
      </c>
      <c r="C35" s="264">
        <v>24</v>
      </c>
      <c r="D35" s="141"/>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4575</v>
      </c>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603027</v>
      </c>
    </row>
    <row r="48" spans="1:4" s="2" customFormat="1" x14ac:dyDescent="0.2">
      <c r="A48" s="278"/>
      <c r="B48" s="271" t="s">
        <v>3084</v>
      </c>
      <c r="C48" s="264">
        <v>37</v>
      </c>
      <c r="D48" s="140">
        <f>D49+D54+D90+D95</f>
        <v>68689</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68689</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68689</v>
      </c>
    </row>
    <row r="61" spans="1:4" s="2" customFormat="1" x14ac:dyDescent="0.2">
      <c r="A61" s="272"/>
      <c r="B61" s="273" t="s">
        <v>1568</v>
      </c>
      <c r="C61" s="264">
        <v>50</v>
      </c>
      <c r="D61" s="141">
        <v>68689</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534338</v>
      </c>
    </row>
    <row r="102" spans="1:5" s="2" customFormat="1" x14ac:dyDescent="0.2">
      <c r="A102" s="272"/>
      <c r="B102" s="280" t="s">
        <v>4041</v>
      </c>
      <c r="C102" s="264">
        <v>91</v>
      </c>
      <c r="D102" s="141"/>
    </row>
    <row r="103" spans="1:5" s="2" customFormat="1" x14ac:dyDescent="0.2">
      <c r="A103" s="272" t="s">
        <v>1181</v>
      </c>
      <c r="B103" s="280" t="s">
        <v>1365</v>
      </c>
      <c r="C103" s="264">
        <v>92</v>
      </c>
      <c r="D103" s="141">
        <v>534338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FILIP GRBEŠ</v>
      </c>
      <c r="B109" s="291"/>
      <c r="C109" s="293"/>
      <c r="D109" s="293"/>
      <c r="E109" s="291"/>
    </row>
    <row r="110" spans="1:5" s="292" customFormat="1" ht="15" customHeight="1" x14ac:dyDescent="0.2">
      <c r="A110" s="291" t="str">
        <f>IF(RefStr!H27="","Telefon za kontakt: _________________","Telefon za kontakt: " &amp; RefStr!H27)</f>
        <v>Telefon za kontakt: 031/703-306</v>
      </c>
      <c r="B110" s="291"/>
      <c r="E110" s="291"/>
    </row>
    <row r="111" spans="1:5" s="292" customFormat="1" ht="15" customHeight="1" x14ac:dyDescent="0.2">
      <c r="A111" s="291" t="str">
        <f>IF(RefStr!H33="","Odgovorna osoba: _____________________________","Odgovorna osoba: " &amp; RefStr!H33)</f>
        <v>Odgovorna osoba: Blaženka Kalčić,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2" activePane="bottomLeft" state="frozen"/>
      <selection pane="bottomLeft" activeCell="C262" sqref="C26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22672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prof</cp:lastModifiedBy>
  <cp:lastPrinted>2017-06-30T07:15:16Z</cp:lastPrinted>
  <dcterms:created xsi:type="dcterms:W3CDTF">2001-11-21T09:32:18Z</dcterms:created>
  <dcterms:modified xsi:type="dcterms:W3CDTF">2019-01-29T09:18:46Z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